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195" windowHeight="5955" activeTab="0"/>
  </bookViews>
  <sheets>
    <sheet name="Table 10.3.1" sheetId="1" r:id="rId1"/>
    <sheet name="Table 10.3.1.1" sheetId="2" r:id="rId2"/>
    <sheet name="Table 10.3.2" sheetId="3" r:id="rId3"/>
  </sheets>
  <externalReferences>
    <externalReference r:id="rId6"/>
  </externalReferences>
  <definedNames>
    <definedName name="_xlnm.Print_Area" localSheetId="0">'Table 10.3.1'!$A$1:$O$71</definedName>
    <definedName name="_xlnm.Print_Area" localSheetId="1">'Table 10.3.1.1'!$A$1:$N$43</definedName>
    <definedName name="_xlnm.Print_Area" localSheetId="2">'Table 10.3.2'!$A$1:$K$82</definedName>
  </definedNames>
  <calcPr fullCalcOnLoad="1"/>
</workbook>
</file>

<file path=xl/sharedStrings.xml><?xml version="1.0" encoding="utf-8"?>
<sst xmlns="http://schemas.openxmlformats.org/spreadsheetml/2006/main" count="331" uniqueCount="201">
  <si>
    <t>Table 10.3.1. Total Weighted Health Employment as a Percentage of Population in Selected Industrialized Countries, 2006</t>
  </si>
  <si>
    <t>COUNTRY</t>
  </si>
  <si>
    <t>TOTAL POPULATION 2006 (000's)</t>
  </si>
  <si>
    <t>POPULATION AGES 15-64 (000's)</t>
  </si>
  <si>
    <t>CIVILIAN LABOR FORCE (000's)</t>
  </si>
  <si>
    <t>CIVILIAN EMPLOY-MENT 2006 (000's)</t>
  </si>
  <si>
    <t>TOTAL HEALTH EMPLOYMENT</t>
  </si>
  <si>
    <t>TOTAL HEALTH EMPLOYMENT AS A PERCENTAGE OF CIVILIAN EMPLOYMENT</t>
  </si>
  <si>
    <t>TOTAL PHYSICIANS (000'S)</t>
  </si>
  <si>
    <t>TOTAL HEALTH EMPLOYMENT, EXCLUDING PHYSICIANS</t>
  </si>
  <si>
    <t>TOTAL WEIGHTED HEALTH EMPLOYMENT</t>
  </si>
  <si>
    <t>TOTAL WEIGHTED HEALTH EMPLOYMENT AS A PERCENTAGE OF</t>
  </si>
  <si>
    <t>Total</t>
  </si>
  <si>
    <t>Weighted</t>
  </si>
  <si>
    <t>Population Ages 15-64</t>
  </si>
  <si>
    <t>Civilian Labor Force</t>
  </si>
  <si>
    <t>Civilian Employ-ment</t>
  </si>
  <si>
    <t xml:space="preserve">U.S. </t>
  </si>
  <si>
    <t>Japan</t>
  </si>
  <si>
    <t>UK</t>
  </si>
  <si>
    <t>France</t>
  </si>
  <si>
    <t>Italy</t>
  </si>
  <si>
    <t>Canada</t>
  </si>
  <si>
    <t>Norway</t>
  </si>
  <si>
    <t>Switzerland</t>
  </si>
  <si>
    <t>Netherlands</t>
  </si>
  <si>
    <t>Unweighted Average</t>
  </si>
  <si>
    <t>Notes</t>
  </si>
  <si>
    <t>[A]</t>
  </si>
  <si>
    <t>[B]</t>
  </si>
  <si>
    <t>[C]</t>
  </si>
  <si>
    <t>[D]</t>
  </si>
  <si>
    <t>[E]</t>
  </si>
  <si>
    <t>[F]</t>
  </si>
  <si>
    <t>Update:</t>
  </si>
  <si>
    <t>Note:</t>
  </si>
  <si>
    <t>Figures in bold italics estimated by author using sources and methods describes in Notes. All other figures are reported in sources shown.</t>
  </si>
  <si>
    <t>Notes:</t>
  </si>
  <si>
    <t>All figures reported in [S5].</t>
  </si>
  <si>
    <t>All figures reported in [S6].</t>
  </si>
  <si>
    <t>All figures are calculated by author using data shown in adjacent columns.</t>
  </si>
  <si>
    <t>All figures are calculated by author in Parameters [P1].</t>
  </si>
  <si>
    <t xml:space="preserve">Figures are calculated by author using a variant of Pauly's methodology in [S1]. The larger income of physicians relative to other health workers is obtained by calculating the ratio of physician income to nurse income, as reported in Parameters [P2].  Weighted Physicians = (Physicians) X (GP Share of Total Physicians x Remuneration ratio of GPs to Nurses + (Specialist Share of Total Physicians) x Remuneration Ratio of Specialists to Nurses + All Other MD Share of Total Physicians X Remuneration Ratio of Other MDs to Nurses). </t>
  </si>
  <si>
    <t xml:space="preserve">All figures are calculated by author: (Weighted Physicians) + (Total Health Employment Excluding Physicians). </t>
  </si>
  <si>
    <t>Parameters</t>
  </si>
  <si>
    <t>[P1]</t>
  </si>
  <si>
    <t>Number of Physicians, 2006</t>
  </si>
  <si>
    <t>Country</t>
  </si>
  <si>
    <t>Physicians per 1000 Population</t>
  </si>
  <si>
    <t>Number of Physicians (000's)</t>
  </si>
  <si>
    <t>Specialist Share of Total Physicians</t>
  </si>
  <si>
    <t>GP Share of Total Physicians</t>
  </si>
  <si>
    <t>Total practicing MDs</t>
  </si>
  <si>
    <t>General Practitioners</t>
  </si>
  <si>
    <t>Specialists</t>
  </si>
  <si>
    <t>Non-GP/non-specialist</t>
  </si>
  <si>
    <t>Unweighted average w/o Japan</t>
  </si>
  <si>
    <t>Unweighted average with Japan</t>
  </si>
  <si>
    <t>[P1a]</t>
  </si>
  <si>
    <t>[P1b]</t>
  </si>
  <si>
    <t>[P1c]</t>
  </si>
  <si>
    <t>[P1d]</t>
  </si>
  <si>
    <t>[P1e]</t>
  </si>
  <si>
    <t>All figures reported in [S7].</t>
  </si>
  <si>
    <r>
      <t>All figures reported in [S2]. No figure was available for Japan, so it has been imputed by the author as follows: MDs/1000</t>
    </r>
    <r>
      <rPr>
        <vertAlign val="subscript"/>
        <sz val="8"/>
        <color indexed="8"/>
        <rFont val="News gothic condensed"/>
        <family val="0"/>
      </rPr>
      <t>Japan</t>
    </r>
    <r>
      <rPr>
        <sz val="8"/>
        <color indexed="8"/>
        <rFont val="News gothic condensed"/>
        <family val="0"/>
      </rPr>
      <t xml:space="preserve"> =  (MDs/1,000</t>
    </r>
    <r>
      <rPr>
        <vertAlign val="subscript"/>
        <sz val="8"/>
        <color indexed="8"/>
        <rFont val="News gothic condensed"/>
        <family val="0"/>
      </rPr>
      <t>Unweighted Average Without Japan</t>
    </r>
    <r>
      <rPr>
        <sz val="8"/>
        <color indexed="8"/>
        <rFont val="News gothic condensed"/>
        <family val="0"/>
      </rPr>
      <t>) x (Total Practicing MDs</t>
    </r>
    <r>
      <rPr>
        <vertAlign val="subscript"/>
        <sz val="8"/>
        <color indexed="8"/>
        <rFont val="News gothic condensed"/>
        <family val="0"/>
      </rPr>
      <t>Japan</t>
    </r>
    <r>
      <rPr>
        <sz val="8"/>
        <color indexed="8"/>
        <rFont val="News gothic condensed"/>
        <family val="0"/>
      </rPr>
      <t>) / (Total Practicing MDs, Unweighted average</t>
    </r>
    <r>
      <rPr>
        <vertAlign val="subscript"/>
        <sz val="8"/>
        <color indexed="8"/>
        <rFont val="News gothic condensed"/>
        <family val="0"/>
      </rPr>
      <t>Without Japan</t>
    </r>
    <r>
      <rPr>
        <sz val="8"/>
        <color indexed="8"/>
        <rFont val="News gothic condensed"/>
        <family val="0"/>
      </rPr>
      <t>).</t>
    </r>
  </si>
  <si>
    <t>All figures calculated by author using MD/population ratios in adjacent columns and population figures from main table: (Total Practicing MDs/1000) x (Total Population)/1,000.</t>
  </si>
  <si>
    <r>
      <t>All figures calculated by author: (Total Physicians) x  (Total Practicing MDs</t>
    </r>
    <r>
      <rPr>
        <vertAlign val="subscript"/>
        <sz val="8"/>
        <color indexed="8"/>
        <rFont val="News gothic condensed"/>
        <family val="0"/>
      </rPr>
      <t xml:space="preserve">Per 1000 </t>
    </r>
    <r>
      <rPr>
        <sz val="8"/>
        <color indexed="8"/>
        <rFont val="News gothic condensed"/>
        <family val="0"/>
      </rPr>
      <t>- General Practitioners</t>
    </r>
    <r>
      <rPr>
        <vertAlign val="subscript"/>
        <sz val="8"/>
        <color indexed="8"/>
        <rFont val="News gothic condensed"/>
        <family val="0"/>
      </rPr>
      <t>Per 1000</t>
    </r>
    <r>
      <rPr>
        <sz val="8"/>
        <color indexed="8"/>
        <rFont val="News gothic condensed"/>
        <family val="0"/>
      </rPr>
      <t xml:space="preserve"> - Specialists</t>
    </r>
    <r>
      <rPr>
        <vertAlign val="subscript"/>
        <sz val="8"/>
        <color indexed="8"/>
        <rFont val="News gothic condensed"/>
        <family val="0"/>
      </rPr>
      <t>Per 1000</t>
    </r>
    <r>
      <rPr>
        <sz val="8"/>
        <color indexed="8"/>
        <rFont val="News gothic condensed"/>
        <family val="0"/>
      </rPr>
      <t>)/(Total Practicing MDs</t>
    </r>
    <r>
      <rPr>
        <vertAlign val="subscript"/>
        <sz val="8"/>
        <color indexed="8"/>
        <rFont val="News gothic condensed"/>
        <family val="0"/>
      </rPr>
      <t>Per 1000).</t>
    </r>
  </si>
  <si>
    <t>All figures calculated by author using data in adjacent columns.</t>
  </si>
  <si>
    <t>[P2]</t>
  </si>
  <si>
    <t>Health Personnel Remuneration</t>
  </si>
  <si>
    <t>Annual Remuneration (USD PPP, 000's)</t>
  </si>
  <si>
    <t>Annual Remuneration (USD PPP)</t>
  </si>
  <si>
    <t>Estimated Remuneration of All Other MDs (USD PPP)</t>
  </si>
  <si>
    <t xml:space="preserve">Remuneration Ratio: </t>
  </si>
  <si>
    <t>Year</t>
  </si>
  <si>
    <t>General practitioners</t>
  </si>
  <si>
    <t>Specialists (1)</t>
  </si>
  <si>
    <t>Remuneration ratio: specialists to GPs</t>
  </si>
  <si>
    <t>Hospital nurses</t>
  </si>
  <si>
    <t>Specialists (2)</t>
  </si>
  <si>
    <t>Specialists to Nurses</t>
  </si>
  <si>
    <t>GPs to Nurses</t>
  </si>
  <si>
    <t>Other MDs to Nurses</t>
  </si>
  <si>
    <t>NR</t>
  </si>
  <si>
    <t>Unweighted average countries with data</t>
  </si>
  <si>
    <t>Unweighted average including imputed data</t>
  </si>
  <si>
    <t>[P2a]</t>
  </si>
  <si>
    <t>[P2b]</t>
  </si>
  <si>
    <t>[P2c]</t>
  </si>
  <si>
    <t>Calculated</t>
  </si>
  <si>
    <t>All figures are reported in [S3]. For countries with missing data, annual remuneration for general practitioners was imputed by the author: (Annual Remuneration, Hospital Nurses) X (Remuneration Ratio: GPs to Nurses). The remuneration ratio: specialists to GPs was calculated by author from data in adjacent columns; for countries missing such remuneration data, the remuneration ratio was imputed using the unweighted average of countries reporting data (such imputed figures are highlighted in red).</t>
  </si>
  <si>
    <t>All figures are reported in [S2]. Missing data for hospital nurses were imputed by author: (Specialists Remuneration) / (Remuneration Ratio: Specialists to Nurses) on grounds that this would be more accurate than relying on the unweighted average remuneration for hospital nurses. The specialist figure for Japan was imputed by author: (Remuneration, Hospital Nurses) x (Remuneration Ratio: Specialists to Nurses).</t>
  </si>
  <si>
    <r>
      <t>Because these data are not reported in OECD Health Data 2010, remuneration ratio of all other MDs is calculated by author: (Remuneration of General Practicioners) x (Average Annual Earnings for U.S. Family and General Practicioners [$174,280]) / (Average Annual Earnings for U.S. General Internists [$190,940], using figures reported in [S4]. For countries without GP remuneration data, the figures are calculated by author: (Specialist Remuneration) x (Estimated Remuneration of All Other MDs</t>
    </r>
    <r>
      <rPr>
        <vertAlign val="subscript"/>
        <sz val="8"/>
        <color indexed="8"/>
        <rFont val="News gothic condensed"/>
        <family val="0"/>
      </rPr>
      <t>Unweighted average, countries with data</t>
    </r>
    <r>
      <rPr>
        <sz val="8"/>
        <color indexed="8"/>
        <rFont val="News gothic condensed"/>
        <family val="0"/>
      </rPr>
      <t>) / (Specialist (2) Remuneration</t>
    </r>
    <r>
      <rPr>
        <vertAlign val="subscript"/>
        <sz val="8"/>
        <color indexed="8"/>
        <rFont val="News gothic condensed"/>
        <family val="0"/>
      </rPr>
      <t>Unweighted average, countries with data</t>
    </r>
    <r>
      <rPr>
        <sz val="8"/>
        <color indexed="8"/>
        <rFont val="News gothic condensed"/>
        <family val="0"/>
      </rPr>
      <t>)</t>
    </r>
  </si>
  <si>
    <t>Sources:</t>
  </si>
  <si>
    <t>[S1]</t>
  </si>
  <si>
    <r>
      <rPr>
        <b/>
        <sz val="8"/>
        <color indexed="8"/>
        <rFont val="News gothic condensed"/>
        <family val="0"/>
      </rPr>
      <t>Pauly, Mark V.</t>
    </r>
    <r>
      <rPr>
        <sz val="8"/>
        <color indexed="8"/>
        <rFont val="News gothic condensed"/>
        <family val="0"/>
      </rPr>
      <t xml:space="preserve"> U.S. Health Care Costs: The Untold True Story. </t>
    </r>
    <r>
      <rPr>
        <i/>
        <sz val="8"/>
        <color indexed="8"/>
        <rFont val="News gothic condensed"/>
        <family val="0"/>
      </rPr>
      <t xml:space="preserve">Health Affairs Vol. 12, No. 3. </t>
    </r>
    <r>
      <rPr>
        <sz val="8"/>
        <color indexed="8"/>
        <rFont val="News gothic condensed"/>
        <family val="0"/>
      </rPr>
      <t>Fall 1993: 152-159. Available at: http://content.healthaffairs.org/content/12/3/152.full.pdf (accessed July 9, 2010).</t>
    </r>
  </si>
  <si>
    <t>[S2]</t>
  </si>
  <si>
    <r>
      <rPr>
        <b/>
        <sz val="8"/>
        <color indexed="8"/>
        <rFont val="News gothic condensed"/>
        <family val="0"/>
      </rPr>
      <t>Organization for Economic Cooperation and Development</t>
    </r>
    <r>
      <rPr>
        <sz val="8"/>
        <color indexed="8"/>
        <rFont val="News gothic condensed"/>
        <family val="0"/>
      </rPr>
      <t>. OECD Health Data 2010. Available at: http://www.ecosante.org/index2.php?base=OCDE&amp;langh=ENG&amp;langs=ENG&amp;sessionid=d4b0f5b77136db41bf096232cba406df (accessed July 5, 2010).</t>
    </r>
  </si>
  <si>
    <t>[S3]</t>
  </si>
  <si>
    <r>
      <rPr>
        <b/>
        <sz val="8"/>
        <color indexed="8"/>
        <rFont val="News gothic condensed"/>
        <family val="0"/>
      </rPr>
      <t>Fujisawa, Rie</t>
    </r>
    <r>
      <rPr>
        <sz val="8"/>
        <color indexed="8"/>
        <rFont val="News gothic condensed"/>
        <family val="0"/>
      </rPr>
      <t xml:space="preserve"> and </t>
    </r>
    <r>
      <rPr>
        <b/>
        <sz val="8"/>
        <color indexed="8"/>
        <rFont val="News gothic condensed"/>
        <family val="0"/>
      </rPr>
      <t>Gaetan Lafortune</t>
    </r>
    <r>
      <rPr>
        <sz val="8"/>
        <color indexed="8"/>
        <rFont val="News gothic condensed"/>
        <family val="0"/>
      </rPr>
      <t xml:space="preserve">. The Remuneration of General Practicioners and Specialists in 14 OECD Countries: What are the Factors Influencing Variations Across Countries? </t>
    </r>
    <r>
      <rPr>
        <i/>
        <sz val="8"/>
        <color indexed="8"/>
        <rFont val="News gothic condensed"/>
        <family val="0"/>
      </rPr>
      <t>OECD Working Paper Series</t>
    </r>
    <r>
      <rPr>
        <sz val="8"/>
        <color indexed="8"/>
        <rFont val="News gothic condensed"/>
        <family val="0"/>
      </rPr>
      <t xml:space="preserve"> No. 41. December 18, 2008. http://www.oecd.org/dataoecd/51/48/41925333.pdf (accessed July 5, 2010).</t>
    </r>
  </si>
  <si>
    <t>[S4]</t>
  </si>
  <si>
    <r>
      <rPr>
        <b/>
        <sz val="8"/>
        <color indexed="8"/>
        <rFont val="News gothic condensed"/>
        <family val="0"/>
      </rPr>
      <t>U.S. Department of Labor,Bureau of Labor Statistics</t>
    </r>
    <r>
      <rPr>
        <sz val="8"/>
        <color indexed="8"/>
        <rFont val="News gothic condensed"/>
        <family val="0"/>
      </rPr>
      <t xml:space="preserve">. </t>
    </r>
    <r>
      <rPr>
        <i/>
        <sz val="8"/>
        <color indexed="8"/>
        <rFont val="News gothic condensed"/>
        <family val="0"/>
      </rPr>
      <t>National Compensation Survey</t>
    </r>
    <r>
      <rPr>
        <sz val="8"/>
        <color indexed="8"/>
        <rFont val="News gothic condensed"/>
        <family val="0"/>
      </rPr>
      <t>. Table 34: Civilian full-timem workers in hospitals: Mean and median hourly, weekly, and annual earnings and mean weekly and annual hours by work levels. Available at: http://www.bls.gov/ncs/ocs/sp/nctb1377.txt (Accessed July 9, 2010).</t>
    </r>
  </si>
  <si>
    <t>[S5]</t>
  </si>
  <si>
    <r>
      <rPr>
        <b/>
        <sz val="8"/>
        <color indexed="8"/>
        <rFont val="News gothic condensed"/>
        <family val="0"/>
      </rPr>
      <t>Organization for Economic Cooperation and Development</t>
    </r>
    <r>
      <rPr>
        <sz val="8"/>
        <color indexed="8"/>
        <rFont val="News gothic condensed"/>
        <family val="0"/>
      </rPr>
      <t xml:space="preserve">. ALFS Summary Tables in </t>
    </r>
    <r>
      <rPr>
        <i/>
        <sz val="8"/>
        <color indexed="8"/>
        <rFont val="News gothic condensed"/>
        <family val="0"/>
      </rPr>
      <t>Annual Labour Force Statistics</t>
    </r>
    <r>
      <rPr>
        <sz val="8"/>
        <color indexed="8"/>
        <rFont val="News gothic condensed"/>
        <family val="0"/>
      </rPr>
      <t>. Available at: http://stats3.oecd.org/WBOS/index.aspx (extracted from OECD.Stat on October 20, 2010).</t>
    </r>
  </si>
  <si>
    <t>[S6]</t>
  </si>
  <si>
    <r>
      <rPr>
        <b/>
        <sz val="8"/>
        <rFont val="News gothic condensed"/>
        <family val="0"/>
      </rPr>
      <t>Duke University,</t>
    </r>
    <r>
      <rPr>
        <sz val="8"/>
        <rFont val="News gothic condensed"/>
        <family val="0"/>
      </rPr>
      <t xml:space="preserve"> </t>
    </r>
    <r>
      <rPr>
        <b/>
        <sz val="8"/>
        <rFont val="News gothic condensed"/>
        <family val="0"/>
      </rPr>
      <t>Center for Health Policy and Inequalities Research</t>
    </r>
    <r>
      <rPr>
        <sz val="8"/>
        <rFont val="News gothic condensed"/>
        <family val="0"/>
      </rPr>
      <t xml:space="preserve">. </t>
    </r>
    <r>
      <rPr>
        <i/>
        <sz val="8"/>
        <rFont val="News Gothic Condensed"/>
        <family val="0"/>
      </rPr>
      <t>Table 10.3.1.1.  Health Sector Employment as a Percent of Total Civilian Employment in Selected Industrialized Countries, Selected Years, 1995-2008</t>
    </r>
    <r>
      <rPr>
        <sz val="8"/>
        <rFont val="News gothic condensed"/>
        <family val="0"/>
      </rPr>
      <t>. Durham: Duke University, August 5, 2010.</t>
    </r>
  </si>
  <si>
    <t>[S7]</t>
  </si>
  <si>
    <r>
      <rPr>
        <b/>
        <sz val="8"/>
        <color indexed="8"/>
        <rFont val="News gothic condensed"/>
        <family val="0"/>
      </rPr>
      <t>Organization for Economic Cooperation and Development</t>
    </r>
    <r>
      <rPr>
        <sz val="8"/>
        <color indexed="8"/>
        <rFont val="News gothic condensed"/>
        <family val="0"/>
      </rPr>
      <t xml:space="preserve">. </t>
    </r>
    <r>
      <rPr>
        <i/>
        <sz val="8"/>
        <color indexed="8"/>
        <rFont val="News gothic condensed"/>
        <family val="0"/>
      </rPr>
      <t xml:space="preserve">OECD Health Data 2009. </t>
    </r>
    <r>
      <rPr>
        <sz val="8"/>
        <color indexed="8"/>
        <rFont val="News gothic condensed"/>
        <family val="0"/>
      </rPr>
      <t>Available at: http://stats3.oecd.org/WBOS/index.aspx (extracted from OECD.Stat on June 25, 2010).</t>
    </r>
  </si>
  <si>
    <t>Linked Tables: Table 10.3.1.1</t>
  </si>
  <si>
    <t>Table 10.3.1.1.  Health Sector Employment as a Percent of Total Civilian Employment in Selected Industrialized Countries, Selected Years, 1995-2008</t>
  </si>
  <si>
    <t>OECD MEMBER COUNTRY</t>
  </si>
  <si>
    <t>HEALTH &amp; SOCIAL WORK EMPLOYMENT</t>
  </si>
  <si>
    <t>HEALTH &amp; SOCIAL WORK AS A PERCENTAGE OF CIVILIAN EMPLOYMENT (CALCULATED)</t>
  </si>
  <si>
    <t>OECD-REPORTED PERCENTAGE OF CIVILIAN EMPLOYMENT</t>
  </si>
  <si>
    <t>G7 Average</t>
  </si>
  <si>
    <t>U.S., U.K., Italy, Canada</t>
  </si>
  <si>
    <t>U.S., U.K., France, Italy, Canada</t>
  </si>
  <si>
    <t>U.S. (using CPS)</t>
  </si>
  <si>
    <t>U.K.</t>
  </si>
  <si>
    <t xml:space="preserve">France </t>
  </si>
  <si>
    <t>U.S. (using BLS)</t>
  </si>
  <si>
    <t>NA</t>
  </si>
  <si>
    <t>Except for U.S., all figures reported in [S1], which combines health sector and social work employment. U.S. figures for 2006 and 2008 is the reported total for health care and social assistance employment as reported in [S3]. This aggregate was not reported in 1995 or 1996, so it was estimated combining the reported totals for health services and social services.  Figures in red have been calculated from imputed percentages due to missing data shown.</t>
  </si>
  <si>
    <t>All figures calculated from figures shown. Figures in red imputed from OECD-reported shares shown.</t>
  </si>
  <si>
    <t>The U.S. figures are based on the Current Population Survey, whereas the figures shown under Health &amp; Social Work Employment are BLS establishment-based figures. The 2008 figure shown for France is estimated from 2006 data.</t>
  </si>
  <si>
    <t>Civilian Employment (000's)</t>
  </si>
  <si>
    <t xml:space="preserve">All figures reported in [S2]. </t>
  </si>
  <si>
    <r>
      <rPr>
        <b/>
        <sz val="8"/>
        <rFont val="News gothic condensed"/>
        <family val="0"/>
      </rPr>
      <t>Organisation for Economic Co-operation and Development.</t>
    </r>
    <r>
      <rPr>
        <sz val="8"/>
        <rFont val="News gothic condensed"/>
        <family val="0"/>
      </rPr>
      <t xml:space="preserve"> OECD.Stat. "Annual Labour Force Statistics: Employment by Activities and Status." Available at: http://stats.oecd.org (accessed June 25, 2010).</t>
    </r>
  </si>
  <si>
    <r>
      <rPr>
        <b/>
        <sz val="8"/>
        <rFont val="News gothic condensed"/>
        <family val="0"/>
      </rPr>
      <t>Organisation for Economic Co-operation and Development.</t>
    </r>
    <r>
      <rPr>
        <sz val="8"/>
        <rFont val="News gothic condensed"/>
        <family val="0"/>
      </rPr>
      <t xml:space="preserve"> OECD.Stat. "Annual Labour Force Statistics: Population and Labor Force." Available at: http://stats.oecd.org (accessed June 25, 2010).</t>
    </r>
  </si>
  <si>
    <r>
      <rPr>
        <b/>
        <sz val="8"/>
        <rFont val="News gothic condensed"/>
        <family val="0"/>
      </rPr>
      <t xml:space="preserve">U.S. Department of Commerce, Bureau of Economic Analysis. </t>
    </r>
    <r>
      <rPr>
        <i/>
        <sz val="8"/>
        <rFont val="News Gothic Condensed"/>
        <family val="0"/>
      </rPr>
      <t>National Income and Product Accounts</t>
    </r>
    <r>
      <rPr>
        <sz val="8"/>
        <rFont val="News gothic condensed"/>
        <family val="0"/>
      </rPr>
      <t>. Table 6.4: Full and Part-Time Employees by Industry (last updated August 5, 2010). http://www.bea.gov/national/nipaweb/SelectTable.asp (Accessed October 15, 2010.</t>
    </r>
  </si>
  <si>
    <t>Linked Tables: None</t>
  </si>
  <si>
    <t>Table 10.3.2. Standardized Expenditures on Medical Care Labor, as a Percentage of GDP in Selected Industrialized Countries, 2006</t>
  </si>
  <si>
    <t>PERCENTAGE OF GDP</t>
  </si>
  <si>
    <t>Total expenditure on physicians</t>
  </si>
  <si>
    <t>Total expenditure on nurses</t>
  </si>
  <si>
    <t>Total expenditure on other health workers</t>
  </si>
  <si>
    <t>Total expenditure on medical workers, U.S. wages</t>
  </si>
  <si>
    <t>Local wages</t>
  </si>
  <si>
    <t>U.S. wages</t>
  </si>
  <si>
    <t>[G]</t>
  </si>
  <si>
    <t>Figures in bold italics estimated by author using sources and methods describes in Notes. All other figures are reported in sources shown. This tabulation parallels Pauly's methodology in [S3].</t>
  </si>
  <si>
    <r>
      <t>All figures are calculated by author: (Estimated Rumeration of Physicians</t>
    </r>
    <r>
      <rPr>
        <vertAlign val="subscript"/>
        <sz val="8"/>
        <color indexed="8"/>
        <rFont val="News gothic condensed"/>
        <family val="0"/>
      </rPr>
      <t>National Currency Units</t>
    </r>
    <r>
      <rPr>
        <sz val="8"/>
        <color indexed="8"/>
        <rFont val="News gothic condensed"/>
        <family val="0"/>
      </rPr>
      <t>) x (Number of Physicians) / (GDP</t>
    </r>
    <r>
      <rPr>
        <vertAlign val="subscript"/>
        <sz val="8"/>
        <color indexed="8"/>
        <rFont val="News gothic condensed"/>
        <family val="0"/>
      </rPr>
      <t>National Currency Units</t>
    </r>
    <r>
      <rPr>
        <sz val="8"/>
        <color indexed="8"/>
        <rFont val="News gothic condensed"/>
        <family val="0"/>
      </rPr>
      <t>)</t>
    </r>
  </si>
  <si>
    <r>
      <t>All figures are calculated by author:  (Estimated Remuneration of Physicians</t>
    </r>
    <r>
      <rPr>
        <vertAlign val="subscript"/>
        <sz val="8"/>
        <color indexed="8"/>
        <rFont val="News gothic condensed"/>
        <family val="0"/>
      </rPr>
      <t>U.S.</t>
    </r>
    <r>
      <rPr>
        <sz val="8"/>
        <color indexed="8"/>
        <rFont val="News gothic condensed"/>
        <family val="0"/>
      </rPr>
      <t>)  x (Number of Physicians) / (GDP</t>
    </r>
    <r>
      <rPr>
        <vertAlign val="subscript"/>
        <sz val="8"/>
        <color indexed="8"/>
        <rFont val="News gothic condensed"/>
        <family val="0"/>
      </rPr>
      <t>USD PPP</t>
    </r>
    <r>
      <rPr>
        <sz val="8"/>
        <color indexed="8"/>
        <rFont val="News gothic condensed"/>
        <family val="0"/>
      </rPr>
      <t>)</t>
    </r>
  </si>
  <si>
    <r>
      <t>All figures are calculated by author: (Number of Specialists) x (Estimated Remuneration of Physicians) / (GDP</t>
    </r>
    <r>
      <rPr>
        <vertAlign val="subscript"/>
        <sz val="8"/>
        <color indexed="8"/>
        <rFont val="News gothic condensed"/>
        <family val="0"/>
      </rPr>
      <t>National Currency Units</t>
    </r>
    <r>
      <rPr>
        <sz val="8"/>
        <color indexed="8"/>
        <rFont val="News gothic condensed"/>
        <family val="0"/>
      </rPr>
      <t>)</t>
    </r>
  </si>
  <si>
    <r>
      <t>All figures are calculated by author:  (Estimated Remuneration of Nurses</t>
    </r>
    <r>
      <rPr>
        <vertAlign val="subscript"/>
        <sz val="8"/>
        <color indexed="8"/>
        <rFont val="News gothic condensed"/>
        <family val="0"/>
      </rPr>
      <t>U.S.</t>
    </r>
    <r>
      <rPr>
        <sz val="8"/>
        <color indexed="8"/>
        <rFont val="News gothic condensed"/>
        <family val="0"/>
      </rPr>
      <t>)  x (Number of Practicing Nurses) / (GDP</t>
    </r>
    <r>
      <rPr>
        <vertAlign val="subscript"/>
        <sz val="8"/>
        <color indexed="8"/>
        <rFont val="News gothic condensed"/>
        <family val="0"/>
      </rPr>
      <t>USD PPP</t>
    </r>
    <r>
      <rPr>
        <sz val="8"/>
        <color indexed="8"/>
        <rFont val="News gothic condensed"/>
        <family val="0"/>
      </rPr>
      <t>)</t>
    </r>
  </si>
  <si>
    <r>
      <t>All figures are calculated by author: (Number of Other Health Workers) x (Estimated Remuneration of Other Health Workers) / (GDP</t>
    </r>
    <r>
      <rPr>
        <vertAlign val="subscript"/>
        <sz val="8"/>
        <color indexed="8"/>
        <rFont val="News gothic condensed"/>
        <family val="0"/>
      </rPr>
      <t>National Currency Units</t>
    </r>
    <r>
      <rPr>
        <sz val="8"/>
        <color indexed="8"/>
        <rFont val="News gothic condensed"/>
        <family val="0"/>
      </rPr>
      <t>)</t>
    </r>
  </si>
  <si>
    <r>
      <t>All figures are calculated by author:  (Estimated Remuneration of Other Health Care Workers in U.S.</t>
    </r>
    <r>
      <rPr>
        <vertAlign val="subscript"/>
        <sz val="8"/>
        <color indexed="8"/>
        <rFont val="News gothic condensed"/>
        <family val="0"/>
      </rPr>
      <t>USD PPP</t>
    </r>
    <r>
      <rPr>
        <sz val="8"/>
        <color indexed="8"/>
        <rFont val="News gothic condensed"/>
        <family val="0"/>
      </rPr>
      <t>) x (Estimated Number of Other Health Care Workers) / (GDP</t>
    </r>
    <r>
      <rPr>
        <vertAlign val="subscript"/>
        <sz val="8"/>
        <color indexed="8"/>
        <rFont val="News gothic condensed"/>
        <family val="0"/>
      </rPr>
      <t>USD PPP</t>
    </r>
    <r>
      <rPr>
        <sz val="8"/>
        <color indexed="8"/>
        <rFont val="News gothic condensed"/>
        <family val="0"/>
      </rPr>
      <t>)</t>
    </r>
  </si>
  <si>
    <t>All figures calculated by author as the sum of components shown in adjacent columns.</t>
  </si>
  <si>
    <t>Estimated Number of All Other Health Workers</t>
  </si>
  <si>
    <t>Employment Ratio: Nurses to MDs</t>
  </si>
  <si>
    <t>Number of Practicing Nurses (2006)</t>
  </si>
  <si>
    <t>Number of General Practitioners (2006)</t>
  </si>
  <si>
    <t>Number of Specialists (Surgical and Medical)</t>
  </si>
  <si>
    <t>Number of Physicians (2006)</t>
  </si>
  <si>
    <t>Unweighted average</t>
  </si>
  <si>
    <t>[P1f]</t>
  </si>
  <si>
    <t>All figures are calculated by author: (Total Health Employment Excluding Physicians [S1]) - (Number of Practicing Nurses).</t>
  </si>
  <si>
    <t>All figures are calculated by author: (Number of Practicing Nurses) - (Number of Physicians).</t>
  </si>
  <si>
    <t>All non-boldfaced figures are reported in [S2]. All other figures are calculated by author: (Employment Ratio: Nurses to MDs) x (Number of Physicians).</t>
  </si>
  <si>
    <t>All non-boldfaced figures are reported in [S2]. All other figures are calculated by author: (General Practitioners per 1,000 [S1]) x (Total Population [S1]).</t>
  </si>
  <si>
    <t>All black bold-faced figures are calculated by author by summing figures for surgical specialists and medical specialists reported at [S2]. All red bold-faced figures are calculated by author</t>
  </si>
  <si>
    <t>All figures are OECD estimates reported in [S1].</t>
  </si>
  <si>
    <t>Estimated Annual Remuneration in USD (Purchasing Power Parity)</t>
  </si>
  <si>
    <t>GDP USD (PPP)</t>
  </si>
  <si>
    <t>Estimated Annual Remuneration in National Currency Units (NCU)</t>
  </si>
  <si>
    <t>GDP (NCU)</t>
  </si>
  <si>
    <t>Remuneration of Hospital Nurses</t>
  </si>
  <si>
    <t>Estimated Remuneration of Physicians</t>
  </si>
  <si>
    <t xml:space="preserve">Estimated Remuneration of All Other Health Workers </t>
  </si>
  <si>
    <t>[2a]</t>
  </si>
  <si>
    <t>[2b]</t>
  </si>
  <si>
    <t>[2c]</t>
  </si>
  <si>
    <t>[2d]</t>
  </si>
  <si>
    <t>[2e]</t>
  </si>
  <si>
    <t>[2f]</t>
  </si>
  <si>
    <t>[2g]</t>
  </si>
  <si>
    <t xml:space="preserve">All figures are OECD estimates or author calculations reported in [S1]. </t>
  </si>
  <si>
    <t xml:space="preserve">All figures are calculated by author using data reported in [S1]:  (Remuneration of GPs) x (GP Share of MDs) + (Remuneration of Specialists) x (Specialists Share of MDs) + (Remuneration of All Other MDs) x (All Other MDs Share of MDs). </t>
  </si>
  <si>
    <t xml:space="preserve">All figures are calculated by author: (Remuneration of Nurses) x ($27.82 / $31.23). The latter adjuster accounts for hospital nurse wages being higher than other health sector wages. From [P3] 27.82 = mean hourly earnings for civilian private sector health care workers and $31.23 equals mean hourly earnings for all hospital-based nurses.  </t>
  </si>
  <si>
    <t>All figures are OECD estimates reported in [S2].</t>
  </si>
  <si>
    <r>
      <t>All figures are calculated by author:  (Remuneration of Hospital Nurses</t>
    </r>
    <r>
      <rPr>
        <vertAlign val="subscript"/>
        <sz val="8"/>
        <color indexed="8"/>
        <rFont val="News gothic condensed"/>
        <family val="0"/>
      </rPr>
      <t>USD PPP</t>
    </r>
    <r>
      <rPr>
        <sz val="8"/>
        <color indexed="8"/>
        <rFont val="News gothic condensed"/>
        <family val="0"/>
      </rPr>
      <t>) x (GDP</t>
    </r>
    <r>
      <rPr>
        <vertAlign val="subscript"/>
        <sz val="8"/>
        <color indexed="8"/>
        <rFont val="News gothic condensed"/>
        <family val="0"/>
      </rPr>
      <t>NCU</t>
    </r>
    <r>
      <rPr>
        <sz val="8"/>
        <color indexed="8"/>
        <rFont val="News gothic condensed"/>
        <family val="0"/>
      </rPr>
      <t>)/(GDP</t>
    </r>
    <r>
      <rPr>
        <vertAlign val="subscript"/>
        <sz val="8"/>
        <color indexed="8"/>
        <rFont val="News gothic condensed"/>
        <family val="0"/>
      </rPr>
      <t>USD PPP</t>
    </r>
    <r>
      <rPr>
        <sz val="8"/>
        <color indexed="8"/>
        <rFont val="News gothic condensed"/>
        <family val="0"/>
      </rPr>
      <t xml:space="preserve">) </t>
    </r>
  </si>
  <si>
    <r>
      <t>All figures are calculated by author:  (Remuneration of Physicians</t>
    </r>
    <r>
      <rPr>
        <vertAlign val="subscript"/>
        <sz val="8"/>
        <color indexed="8"/>
        <rFont val="News gothic condensed"/>
        <family val="0"/>
      </rPr>
      <t>USD PPP</t>
    </r>
    <r>
      <rPr>
        <sz val="8"/>
        <color indexed="8"/>
        <rFont val="News gothic condensed"/>
        <family val="0"/>
      </rPr>
      <t>) x (GDP</t>
    </r>
    <r>
      <rPr>
        <vertAlign val="subscript"/>
        <sz val="8"/>
        <color indexed="8"/>
        <rFont val="News gothic condensed"/>
        <family val="0"/>
      </rPr>
      <t>NCU</t>
    </r>
    <r>
      <rPr>
        <sz val="8"/>
        <color indexed="8"/>
        <rFont val="News gothic condensed"/>
        <family val="0"/>
      </rPr>
      <t>)/(GDP</t>
    </r>
    <r>
      <rPr>
        <vertAlign val="subscript"/>
        <sz val="8"/>
        <color indexed="8"/>
        <rFont val="News gothic condensed"/>
        <family val="0"/>
      </rPr>
      <t>USD PPP</t>
    </r>
    <r>
      <rPr>
        <sz val="8"/>
        <color indexed="8"/>
        <rFont val="News gothic condensed"/>
        <family val="0"/>
      </rPr>
      <t xml:space="preserve">) </t>
    </r>
  </si>
  <si>
    <r>
      <t>All figures are calculated by author:  (Remuneration of All Other Health Workers</t>
    </r>
    <r>
      <rPr>
        <vertAlign val="subscript"/>
        <sz val="8"/>
        <color indexed="8"/>
        <rFont val="News gothic condensed"/>
        <family val="0"/>
      </rPr>
      <t>USD PPP</t>
    </r>
    <r>
      <rPr>
        <sz val="8"/>
        <color indexed="8"/>
        <rFont val="News gothic condensed"/>
        <family val="0"/>
      </rPr>
      <t>) x (GDP</t>
    </r>
    <r>
      <rPr>
        <vertAlign val="subscript"/>
        <sz val="8"/>
        <color indexed="8"/>
        <rFont val="News gothic condensed"/>
        <family val="0"/>
      </rPr>
      <t>NCU</t>
    </r>
    <r>
      <rPr>
        <sz val="8"/>
        <color indexed="8"/>
        <rFont val="News gothic condensed"/>
        <family val="0"/>
      </rPr>
      <t>)/(GDP</t>
    </r>
    <r>
      <rPr>
        <vertAlign val="subscript"/>
        <sz val="8"/>
        <color indexed="8"/>
        <rFont val="News gothic condensed"/>
        <family val="0"/>
      </rPr>
      <t>USD PPP</t>
    </r>
    <r>
      <rPr>
        <sz val="8"/>
        <color indexed="8"/>
        <rFont val="News gothic condensed"/>
        <family val="0"/>
      </rPr>
      <t xml:space="preserve">) </t>
    </r>
  </si>
  <si>
    <t>[P3]</t>
  </si>
  <si>
    <t>Other Health Personnel Wage Adjustment</t>
  </si>
  <si>
    <t>Occupation</t>
  </si>
  <si>
    <t>Number</t>
  </si>
  <si>
    <t>Mean hourly</t>
  </si>
  <si>
    <t>All workers, health care and social assistance</t>
  </si>
  <si>
    <t>[P3a]</t>
  </si>
  <si>
    <t>All workers, social assistance</t>
  </si>
  <si>
    <t>All health care workers</t>
  </si>
  <si>
    <t>[P3b]</t>
  </si>
  <si>
    <t xml:space="preserve">Registered Nurses, NAICS 622000 - Hospitals </t>
  </si>
  <si>
    <t>Licensed Practical and Licensed Vocational Nurses, NAICS 622000 - Hospitals</t>
  </si>
  <si>
    <t>All hospital-based nurses</t>
  </si>
  <si>
    <t>All figures reported in [S4]</t>
  </si>
  <si>
    <t>All mean hourly figures are calculated by author as weighted averages using data shown in adjacent rows.</t>
  </si>
  <si>
    <r>
      <rPr>
        <b/>
        <sz val="8"/>
        <rFont val="News gothic condensed"/>
        <family val="0"/>
      </rPr>
      <t>Duke University,</t>
    </r>
    <r>
      <rPr>
        <sz val="8"/>
        <rFont val="News gothic condensed"/>
        <family val="0"/>
      </rPr>
      <t xml:space="preserve"> </t>
    </r>
    <r>
      <rPr>
        <b/>
        <sz val="8"/>
        <rFont val="News gothic condensed"/>
        <family val="0"/>
      </rPr>
      <t>Center for Health Policy and Inequalities Research</t>
    </r>
    <r>
      <rPr>
        <sz val="8"/>
        <rFont val="News gothic condensed"/>
        <family val="0"/>
      </rPr>
      <t xml:space="preserve">. </t>
    </r>
    <r>
      <rPr>
        <i/>
        <sz val="8"/>
        <rFont val="News Gothic Condensed"/>
        <family val="0"/>
      </rPr>
      <t>Table 10.3.1. Total Weighted Health Employment as a Percentage of Population in Selected Industrialized Countries, 2006</t>
    </r>
    <r>
      <rPr>
        <sz val="8"/>
        <rFont val="News gothic condensed"/>
        <family val="0"/>
      </rPr>
      <t>. Durham: Duke University, July 9, 2010.</t>
    </r>
  </si>
  <si>
    <r>
      <rPr>
        <b/>
        <sz val="8"/>
        <color indexed="8"/>
        <rFont val="News gothic condensed"/>
        <family val="0"/>
      </rPr>
      <t>U.S. Department of Labor, Bureau of Labor Statistics</t>
    </r>
    <r>
      <rPr>
        <sz val="8"/>
        <color indexed="8"/>
        <rFont val="News gothic condensed"/>
        <family val="0"/>
      </rPr>
      <t>. May 2009 National Industry-Specific Occupational Employment and Wage Estimates. Available at: http://www.bls.gov/oes/ (Accessed July 9, 2010).</t>
    </r>
  </si>
  <si>
    <t>Linked Tables: Table 10.3.1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</si>
</sst>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0.0;\-##0.0;0.0;"/>
    <numFmt numFmtId="169" formatCode="\ \.\.;\ \.\.;\ \.\.;\ \.\."/>
    <numFmt numFmtId="170" formatCode="##0.0\ \(\d\);\-##0.0\ \(\d\);0.0\ \(\d\);\ \(\d\)"/>
    <numFmt numFmtId="171" formatCode="##0.0\ \e;\-##0.0\ \e;0.0\ \e;\ \e"/>
    <numFmt numFmtId="172" formatCode="##0.0\ \|;\-##0.0\ \|;0.0\ \|;\ \|"/>
  </numFmts>
  <fonts count="8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News gothic condensed"/>
      <family val="0"/>
    </font>
    <font>
      <sz val="8"/>
      <color indexed="8"/>
      <name val="News gothic condensed"/>
      <family val="0"/>
    </font>
    <font>
      <b/>
      <i/>
      <sz val="8"/>
      <color indexed="8"/>
      <name val="News gothic condensed"/>
      <family val="0"/>
    </font>
    <font>
      <sz val="8"/>
      <name val="News Gothic Condensed"/>
      <family val="2"/>
    </font>
    <font>
      <vertAlign val="subscript"/>
      <sz val="8"/>
      <color indexed="8"/>
      <name val="News gothic condensed"/>
      <family val="0"/>
    </font>
    <font>
      <b/>
      <i/>
      <sz val="8"/>
      <color indexed="10"/>
      <name val="News gothic condensed"/>
      <family val="0"/>
    </font>
    <font>
      <b/>
      <i/>
      <sz val="8"/>
      <name val="News gothic condensed"/>
      <family val="0"/>
    </font>
    <font>
      <i/>
      <sz val="8"/>
      <color indexed="8"/>
      <name val="News gothic condensed"/>
      <family val="0"/>
    </font>
    <font>
      <sz val="8"/>
      <name val="News gothic condensed"/>
      <family val="0"/>
    </font>
    <font>
      <b/>
      <sz val="8"/>
      <name val="News gothic condensed"/>
      <family val="0"/>
    </font>
    <font>
      <i/>
      <sz val="8"/>
      <name val="News Gothic Condensed"/>
      <family val="0"/>
    </font>
    <font>
      <sz val="14"/>
      <color indexed="10"/>
      <name val="News Gothic Condensed"/>
      <family val="0"/>
    </font>
    <font>
      <sz val="8"/>
      <color indexed="10"/>
      <name val="News gothic condensed"/>
      <family val="0"/>
    </font>
    <font>
      <sz val="10"/>
      <name val="Arial"/>
      <family val="2"/>
    </font>
    <font>
      <sz val="12"/>
      <name val="Arial Narrow"/>
      <family val="2"/>
    </font>
    <font>
      <sz val="10"/>
      <name val="Times New Roman"/>
      <family val="1"/>
    </font>
    <font>
      <sz val="10"/>
      <color indexed="8"/>
      <name val="Arial"/>
      <family val="2"/>
    </font>
    <font>
      <sz val="12"/>
      <name val="Courier"/>
      <family val="3"/>
    </font>
    <font>
      <u val="single"/>
      <sz val="10.45"/>
      <color indexed="12"/>
      <name val="Courier New"/>
      <family val="3"/>
    </font>
    <font>
      <u val="single"/>
      <sz val="10"/>
      <color indexed="12"/>
      <name val="Courier New"/>
      <family val="3"/>
    </font>
    <font>
      <u val="single"/>
      <sz val="10"/>
      <color indexed="12"/>
      <name val="Arial"/>
      <family val="2"/>
    </font>
    <font>
      <u val="single"/>
      <sz val="12"/>
      <color indexed="12"/>
      <name val="Courier New"/>
      <family val="3"/>
    </font>
    <font>
      <sz val="8"/>
      <color indexed="8"/>
      <name val="Arial"/>
      <family val="2"/>
    </font>
    <font>
      <sz val="12"/>
      <name val="Helv"/>
      <family val="0"/>
    </font>
    <font>
      <sz val="10"/>
      <name val="Courier"/>
      <family val="3"/>
    </font>
    <font>
      <sz val="12"/>
      <name val="Courier New"/>
      <family val="3"/>
    </font>
    <font>
      <sz val="10"/>
      <name val="Courier New"/>
      <family val="3"/>
    </font>
    <font>
      <sz val="12"/>
      <name val="Arial"/>
      <family val="2"/>
    </font>
    <font>
      <sz val="9"/>
      <name val="Times New Roman"/>
      <family val="1"/>
    </font>
    <font>
      <sz val="7"/>
      <name val="Arial"/>
      <family val="2"/>
    </font>
    <font>
      <b/>
      <sz val="12"/>
      <name val="Arial"/>
      <family val="2"/>
    </font>
    <font>
      <i/>
      <sz val="10"/>
      <name val="Arial"/>
      <family val="2"/>
    </font>
    <font>
      <i/>
      <sz val="8"/>
      <name val="Arial"/>
      <family val="2"/>
    </font>
    <font>
      <i/>
      <sz val="8"/>
      <name val="Tms Rmn"/>
      <family val="0"/>
    </font>
    <font>
      <sz val="9"/>
      <name val="Arial"/>
      <family val="2"/>
    </font>
    <font>
      <b/>
      <sz val="9"/>
      <name val="Arial"/>
      <family val="2"/>
    </font>
    <font>
      <b/>
      <sz val="8"/>
      <name val="Tms Rmn"/>
      <family val="0"/>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b/>
      <sz val="8"/>
      <color theme="1"/>
      <name val="News gothic condensed"/>
      <family val="0"/>
    </font>
    <font>
      <sz val="8"/>
      <color theme="1"/>
      <name val="News gothic condensed"/>
      <family val="0"/>
    </font>
    <font>
      <b/>
      <i/>
      <sz val="8"/>
      <color theme="1"/>
      <name val="News gothic condensed"/>
      <family val="0"/>
    </font>
    <font>
      <b/>
      <i/>
      <sz val="8"/>
      <color rgb="FFFF0000"/>
      <name val="News gothic condensed"/>
      <family val="0"/>
    </font>
    <font>
      <sz val="14"/>
      <color rgb="FFFF0000"/>
      <name val="News Gothic Condensed"/>
      <family val="0"/>
    </font>
    <font>
      <sz val="8"/>
      <color rgb="FFFF0000"/>
      <name val="News gothic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style="thin"/>
      <right/>
      <top style="thick"/>
      <bottom/>
    </border>
    <border>
      <left/>
      <right style="thin"/>
      <top style="thick"/>
      <bottom/>
    </border>
    <border>
      <left style="thin"/>
      <right style="thin"/>
      <top style="thick"/>
      <bottom/>
    </border>
    <border>
      <left style="thin"/>
      <right style="thin"/>
      <top style="thick"/>
      <bottom style="thin"/>
    </border>
    <border>
      <left style="thin"/>
      <right/>
      <top style="thick"/>
      <bottom style="thin"/>
    </border>
    <border>
      <left/>
      <right style="thin"/>
      <top style="thick"/>
      <bottom style="thin"/>
    </border>
    <border>
      <left/>
      <right/>
      <top style="thick"/>
      <bottom style="thin"/>
    </border>
    <border>
      <left style="thin"/>
      <right/>
      <top/>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right style="thin"/>
      <top/>
      <bottom/>
    </border>
    <border>
      <left style="thin"/>
      <right style="thin"/>
      <top/>
      <bottom/>
    </border>
    <border>
      <left style="thin"/>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right/>
      <top/>
      <bottom style="thick"/>
    </border>
  </borders>
  <cellStyleXfs count="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2" fillId="0" borderId="0">
      <alignment/>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31" fillId="0" borderId="0">
      <alignment horizontal="left" wrapText="1"/>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33" fillId="0" borderId="1">
      <alignment horizontal="center" vertical="center"/>
      <protection/>
    </xf>
    <xf numFmtId="0" fontId="57" fillId="26" borderId="0" applyNumberFormat="0" applyBorder="0" applyAlignment="0" applyProtection="0"/>
    <xf numFmtId="0" fontId="58" fillId="27" borderId="2" applyNumberFormat="0" applyAlignment="0" applyProtection="0"/>
    <xf numFmtId="0" fontId="5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3"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5" fillId="0" borderId="0" applyFont="0" applyFill="0" applyBorder="0" applyAlignment="0" applyProtection="0"/>
    <xf numFmtId="167" fontId="33" fillId="0" borderId="0" applyBorder="0">
      <alignment/>
      <protection/>
    </xf>
    <xf numFmtId="167" fontId="33" fillId="0" borderId="4">
      <alignment/>
      <protection/>
    </xf>
    <xf numFmtId="0" fontId="60" fillId="0" borderId="0" applyNumberFormat="0" applyFill="0" applyBorder="0" applyAlignment="0" applyProtection="0"/>
    <xf numFmtId="0" fontId="61" fillId="29" borderId="0" applyNumberFormat="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66" fillId="30" borderId="2" applyNumberFormat="0" applyAlignment="0" applyProtection="0"/>
    <xf numFmtId="0" fontId="67" fillId="0" borderId="8" applyNumberFormat="0" applyFill="0" applyAlignment="0" applyProtection="0"/>
    <xf numFmtId="0" fontId="68" fillId="31" borderId="0" applyNumberFormat="0" applyBorder="0" applyAlignment="0" applyProtection="0"/>
    <xf numFmtId="0" fontId="69" fillId="0" borderId="0">
      <alignment/>
      <protection/>
    </xf>
    <xf numFmtId="0" fontId="31" fillId="0" borderId="0">
      <alignment/>
      <protection/>
    </xf>
    <xf numFmtId="0" fontId="31" fillId="0" borderId="0">
      <alignment/>
      <protection/>
    </xf>
    <xf numFmtId="0" fontId="41" fillId="0" borderId="0">
      <alignment/>
      <protection/>
    </xf>
    <xf numFmtId="0" fontId="42" fillId="0" borderId="0">
      <alignment/>
      <protection/>
    </xf>
    <xf numFmtId="0" fontId="0" fillId="0" borderId="0">
      <alignment/>
      <protection/>
    </xf>
    <xf numFmtId="0" fontId="43" fillId="0" borderId="0">
      <alignment/>
      <protection/>
    </xf>
    <xf numFmtId="0" fontId="44" fillId="0" borderId="0">
      <alignment/>
      <protection/>
    </xf>
    <xf numFmtId="0" fontId="31" fillId="0" borderId="0">
      <alignment/>
      <protection/>
    </xf>
    <xf numFmtId="0" fontId="4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43" fillId="0" borderId="0">
      <alignment/>
      <protection/>
    </xf>
    <xf numFmtId="0" fontId="33" fillId="0" borderId="0">
      <alignment/>
      <protection/>
    </xf>
    <xf numFmtId="0" fontId="45" fillId="0" borderId="0">
      <alignment/>
      <protection/>
    </xf>
    <xf numFmtId="0" fontId="70" fillId="0" borderId="0">
      <alignment/>
      <protection/>
    </xf>
    <xf numFmtId="0" fontId="31" fillId="0" borderId="0">
      <alignment/>
      <protection/>
    </xf>
    <xf numFmtId="0" fontId="31" fillId="0" borderId="0" applyFill="0">
      <alignment/>
      <protection/>
    </xf>
    <xf numFmtId="0" fontId="31" fillId="0" borderId="0" applyFill="0">
      <alignment/>
      <protection/>
    </xf>
    <xf numFmtId="0" fontId="31" fillId="0" borderId="0">
      <alignment/>
      <protection/>
    </xf>
    <xf numFmtId="0" fontId="0" fillId="32" borderId="9" applyNumberFormat="0" applyFont="0" applyAlignment="0" applyProtection="0"/>
    <xf numFmtId="0" fontId="46" fillId="0" borderId="0">
      <alignment horizontal="left"/>
      <protection/>
    </xf>
    <xf numFmtId="0" fontId="71" fillId="27" borderId="10"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0" fontId="33" fillId="0" borderId="11">
      <alignment horizontal="center" vertical="center"/>
      <protection/>
    </xf>
    <xf numFmtId="0" fontId="0" fillId="0" borderId="0" applyNumberFormat="0" applyFont="0" applyFill="0" applyBorder="0" applyProtection="0">
      <alignment horizontal="left" vertical="center"/>
    </xf>
    <xf numFmtId="0" fontId="47" fillId="0" borderId="12" applyNumberFormat="0" applyFill="0" applyProtection="0">
      <alignment horizontal="left" vertical="center" wrapText="1"/>
    </xf>
    <xf numFmtId="168" fontId="47" fillId="0" borderId="12" applyFill="0" applyProtection="0">
      <alignment horizontal="right" vertical="center" wrapText="1"/>
    </xf>
    <xf numFmtId="169" fontId="47" fillId="0" borderId="12" applyFill="0" applyProtection="0">
      <alignment horizontal="right" vertical="center" wrapText="1"/>
    </xf>
    <xf numFmtId="0" fontId="47" fillId="0" borderId="0" applyNumberFormat="0" applyFill="0" applyBorder="0" applyProtection="0">
      <alignment horizontal="left" vertical="center" wrapText="1"/>
    </xf>
    <xf numFmtId="0" fontId="47" fillId="0" borderId="0" applyNumberFormat="0" applyFill="0" applyBorder="0" applyProtection="0">
      <alignment horizontal="left" vertical="center" wrapText="1"/>
    </xf>
    <xf numFmtId="168" fontId="47" fillId="0" borderId="0" applyFill="0" applyBorder="0" applyProtection="0">
      <alignment horizontal="right" vertical="center" wrapText="1"/>
    </xf>
    <xf numFmtId="169" fontId="47" fillId="0" borderId="0" applyFill="0" applyBorder="0" applyProtection="0">
      <alignment horizontal="right" vertical="center" wrapText="1"/>
    </xf>
    <xf numFmtId="170" fontId="47" fillId="0" borderId="0" applyFill="0" applyBorder="0" applyProtection="0">
      <alignment horizontal="right" vertical="center" wrapText="1"/>
    </xf>
    <xf numFmtId="171" fontId="47" fillId="0" borderId="0" applyFill="0" applyBorder="0" applyProtection="0">
      <alignment horizontal="right" vertical="center" wrapText="1"/>
    </xf>
    <xf numFmtId="172" fontId="47" fillId="0" borderId="0" applyFill="0" applyBorder="0" applyProtection="0">
      <alignment horizontal="right" vertical="center" wrapText="1"/>
    </xf>
    <xf numFmtId="0" fontId="31" fillId="0" borderId="0" applyNumberFormat="0" applyFill="0" applyBorder="0" applyAlignment="0" applyProtection="0"/>
    <xf numFmtId="0" fontId="47" fillId="0" borderId="13" applyNumberFormat="0" applyFill="0" applyProtection="0">
      <alignment horizontal="left" vertical="center" wrapText="1"/>
    </xf>
    <xf numFmtId="0" fontId="47" fillId="0" borderId="13" applyNumberFormat="0" applyFill="0" applyProtection="0">
      <alignment horizontal="left" vertical="center" wrapText="1"/>
    </xf>
    <xf numFmtId="168" fontId="47" fillId="0" borderId="13" applyFill="0" applyProtection="0">
      <alignment horizontal="right" vertical="center" wrapText="1"/>
    </xf>
    <xf numFmtId="169" fontId="47" fillId="0" borderId="13" applyFill="0" applyProtection="0">
      <alignment horizontal="right" vertical="center" wrapText="1"/>
    </xf>
    <xf numFmtId="0" fontId="31" fillId="0" borderId="0" applyNumberFormat="0" applyFill="0" applyBorder="0" applyProtection="0">
      <alignment horizontal="left" vertical="center" wrapText="1"/>
    </xf>
    <xf numFmtId="0" fontId="31" fillId="0" borderId="0" applyNumberFormat="0" applyFill="0" applyBorder="0" applyProtection="0">
      <alignment vertical="center" wrapText="1"/>
    </xf>
    <xf numFmtId="0" fontId="31" fillId="0" borderId="0" applyNumberFormat="0" applyFill="0" applyBorder="0" applyProtection="0">
      <alignment vertical="center" wrapText="1"/>
    </xf>
    <xf numFmtId="0" fontId="31" fillId="0" borderId="0" applyNumberFormat="0" applyFill="0" applyBorder="0" applyProtection="0">
      <alignment horizontal="left" vertical="center" wrapText="1"/>
    </xf>
    <xf numFmtId="0" fontId="31" fillId="0" borderId="0" applyNumberFormat="0" applyFill="0" applyBorder="0" applyProtection="0">
      <alignment vertical="center" wrapText="1"/>
    </xf>
    <xf numFmtId="0" fontId="31" fillId="0" borderId="0" applyNumberFormat="0" applyFill="0" applyBorder="0" applyProtection="0">
      <alignment horizontal="left" vertical="center" wrapText="1"/>
    </xf>
    <xf numFmtId="0" fontId="48" fillId="0" borderId="0" applyNumberFormat="0" applyFill="0" applyBorder="0" applyProtection="0">
      <alignment horizontal="left" vertical="center" wrapText="1"/>
    </xf>
    <xf numFmtId="0" fontId="31"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48" fillId="0" borderId="0" applyNumberFormat="0" applyFill="0" applyBorder="0" applyProtection="0">
      <alignment horizontal="left" vertical="center" wrapText="1"/>
    </xf>
    <xf numFmtId="0" fontId="49" fillId="0" borderId="0" applyNumberFormat="0" applyFill="0" applyBorder="0" applyProtection="0">
      <alignment vertical="center" wrapText="1"/>
    </xf>
    <xf numFmtId="0" fontId="0" fillId="0" borderId="14" applyNumberFormat="0" applyFont="0" applyFill="0" applyProtection="0">
      <alignment horizontal="center" vertical="center" wrapText="1"/>
    </xf>
    <xf numFmtId="0" fontId="48" fillId="0" borderId="14" applyNumberFormat="0" applyFill="0" applyProtection="0">
      <alignment horizontal="center" vertical="center" wrapText="1"/>
    </xf>
    <xf numFmtId="0" fontId="48" fillId="0" borderId="14" applyNumberFormat="0" applyFill="0" applyProtection="0">
      <alignment horizontal="center" vertical="center" wrapText="1"/>
    </xf>
    <xf numFmtId="0" fontId="47" fillId="0" borderId="12" applyNumberFormat="0" applyFill="0" applyProtection="0">
      <alignment horizontal="left" vertical="center" wrapText="1"/>
    </xf>
    <xf numFmtId="0" fontId="31" fillId="0" borderId="0">
      <alignment horizontal="left" wrapText="1"/>
      <protection/>
    </xf>
    <xf numFmtId="0" fontId="50" fillId="0" borderId="0">
      <alignment horizontal="left" vertical="top"/>
      <protection/>
    </xf>
    <xf numFmtId="0" fontId="51" fillId="0" borderId="0">
      <alignment/>
      <protection/>
    </xf>
    <xf numFmtId="0" fontId="72" fillId="0" borderId="0" applyNumberFormat="0" applyFill="0" applyBorder="0" applyAlignment="0" applyProtection="0"/>
    <xf numFmtId="0" fontId="52" fillId="0" borderId="0">
      <alignment vertical="top"/>
      <protection/>
    </xf>
    <xf numFmtId="0" fontId="53" fillId="0" borderId="0">
      <alignment vertical="top"/>
      <protection/>
    </xf>
    <xf numFmtId="0" fontId="54" fillId="0" borderId="0">
      <alignment/>
      <protection/>
    </xf>
    <xf numFmtId="0" fontId="73" fillId="0" borderId="15"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cellStyleXfs>
  <cellXfs count="257">
    <xf numFmtId="0" fontId="0" fillId="0" borderId="0" xfId="0" applyFont="1" applyAlignment="1">
      <alignment/>
    </xf>
    <xf numFmtId="0" fontId="76" fillId="0" borderId="0" xfId="0" applyFont="1" applyFill="1" applyBorder="1" applyAlignment="1">
      <alignment horizontal="center" vertical="center"/>
    </xf>
    <xf numFmtId="0" fontId="77" fillId="0" borderId="0" xfId="0" applyFont="1" applyFill="1" applyAlignment="1">
      <alignment/>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7" fillId="0" borderId="0" xfId="0" applyFont="1" applyFill="1" applyAlignment="1">
      <alignment vertical="center"/>
    </xf>
    <xf numFmtId="0" fontId="77" fillId="0" borderId="23" xfId="0" applyFont="1" applyFill="1" applyBorder="1" applyAlignment="1">
      <alignment horizontal="center" vertical="center"/>
    </xf>
    <xf numFmtId="0" fontId="77" fillId="0" borderId="24" xfId="0" applyFont="1" applyFill="1" applyBorder="1" applyAlignment="1">
      <alignment horizontal="center" vertical="center"/>
    </xf>
    <xf numFmtId="0" fontId="77" fillId="0" borderId="25"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27" xfId="0" applyFont="1" applyFill="1" applyBorder="1" applyAlignment="1">
      <alignment/>
    </xf>
    <xf numFmtId="164" fontId="77" fillId="0" borderId="28" xfId="100" applyNumberFormat="1" applyFont="1" applyFill="1" applyBorder="1" applyAlignment="1">
      <alignment/>
    </xf>
    <xf numFmtId="164" fontId="77" fillId="0" borderId="0" xfId="100" applyNumberFormat="1" applyFont="1" applyFill="1" applyBorder="1" applyAlignment="1">
      <alignment/>
    </xf>
    <xf numFmtId="164" fontId="77" fillId="0" borderId="27" xfId="100" applyNumberFormat="1" applyFont="1" applyFill="1" applyBorder="1" applyAlignment="1">
      <alignment/>
    </xf>
    <xf numFmtId="165" fontId="78" fillId="0" borderId="0" xfId="151" applyNumberFormat="1" applyFont="1" applyFill="1" applyAlignment="1">
      <alignment/>
    </xf>
    <xf numFmtId="164" fontId="78" fillId="0" borderId="27" xfId="0" applyNumberFormat="1" applyFont="1" applyFill="1" applyBorder="1" applyAlignment="1">
      <alignment/>
    </xf>
    <xf numFmtId="165" fontId="78" fillId="0" borderId="27" xfId="151" applyNumberFormat="1" applyFont="1" applyFill="1" applyBorder="1" applyAlignment="1">
      <alignment/>
    </xf>
    <xf numFmtId="0" fontId="77" fillId="0" borderId="29" xfId="0" applyFont="1" applyFill="1" applyBorder="1" applyAlignment="1">
      <alignment/>
    </xf>
    <xf numFmtId="164" fontId="77" fillId="0" borderId="29" xfId="100" applyNumberFormat="1" applyFont="1" applyFill="1" applyBorder="1" applyAlignment="1">
      <alignment/>
    </xf>
    <xf numFmtId="164" fontId="78" fillId="0" borderId="29" xfId="0" applyNumberFormat="1" applyFont="1" applyFill="1" applyBorder="1" applyAlignment="1">
      <alignment/>
    </xf>
    <xf numFmtId="165" fontId="78" fillId="0" borderId="29" xfId="151" applyNumberFormat="1" applyFont="1" applyFill="1" applyBorder="1" applyAlignment="1">
      <alignment/>
    </xf>
    <xf numFmtId="0" fontId="77" fillId="0" borderId="23" xfId="0" applyFont="1" applyFill="1" applyBorder="1" applyAlignment="1">
      <alignment horizontal="left" wrapText="1"/>
    </xf>
    <xf numFmtId="0" fontId="77" fillId="0" borderId="24" xfId="0" applyFont="1" applyFill="1" applyBorder="1" applyAlignment="1">
      <alignment horizontal="left" wrapText="1"/>
    </xf>
    <xf numFmtId="164" fontId="78" fillId="0" borderId="25" xfId="0" applyNumberFormat="1" applyFont="1" applyFill="1" applyBorder="1" applyAlignment="1">
      <alignment/>
    </xf>
    <xf numFmtId="164" fontId="78" fillId="0" borderId="23" xfId="0" applyNumberFormat="1" applyFont="1" applyFill="1" applyBorder="1" applyAlignment="1">
      <alignment/>
    </xf>
    <xf numFmtId="0" fontId="77" fillId="0" borderId="26" xfId="0" applyFont="1" applyFill="1" applyBorder="1" applyAlignment="1">
      <alignment vertical="center"/>
    </xf>
    <xf numFmtId="0" fontId="77" fillId="0" borderId="30" xfId="0" applyFont="1" applyFill="1" applyBorder="1" applyAlignment="1">
      <alignment vertical="center"/>
    </xf>
    <xf numFmtId="0" fontId="77" fillId="0" borderId="30" xfId="0" applyFont="1" applyFill="1" applyBorder="1" applyAlignment="1">
      <alignment horizontal="center" vertical="center"/>
    </xf>
    <xf numFmtId="0" fontId="77" fillId="0" borderId="1" xfId="0" applyFont="1" applyFill="1" applyBorder="1" applyAlignment="1">
      <alignment horizontal="center" vertical="center"/>
    </xf>
    <xf numFmtId="0" fontId="77" fillId="0" borderId="31" xfId="0" applyFont="1" applyFill="1" applyBorder="1" applyAlignment="1">
      <alignment horizontal="center" vertical="center"/>
    </xf>
    <xf numFmtId="0" fontId="77" fillId="0" borderId="26" xfId="0" applyFont="1" applyFill="1" applyBorder="1" applyAlignment="1">
      <alignment horizontal="center" vertical="center"/>
    </xf>
    <xf numFmtId="0" fontId="77" fillId="0" borderId="1" xfId="0" applyFont="1" applyFill="1" applyBorder="1" applyAlignment="1">
      <alignment horizontal="center" vertical="center"/>
    </xf>
    <xf numFmtId="0" fontId="21" fillId="0" borderId="32" xfId="0" applyFont="1" applyBorder="1" applyAlignment="1">
      <alignment vertical="center" wrapText="1"/>
    </xf>
    <xf numFmtId="14" fontId="21" fillId="0" borderId="32" xfId="0" applyNumberFormat="1" applyFont="1" applyBorder="1" applyAlignment="1" applyProtection="1">
      <alignment horizontal="left" vertical="center" wrapText="1"/>
      <protection locked="0"/>
    </xf>
    <xf numFmtId="14" fontId="21" fillId="0" borderId="0" xfId="0" applyNumberFormat="1" applyFont="1" applyBorder="1" applyAlignment="1" applyProtection="1">
      <alignment horizontal="left" vertical="center" wrapText="1"/>
      <protection locked="0"/>
    </xf>
    <xf numFmtId="0" fontId="77" fillId="0" borderId="0" xfId="0" applyFont="1" applyBorder="1" applyAlignment="1">
      <alignment horizontal="center" vertical="center"/>
    </xf>
    <xf numFmtId="0" fontId="77" fillId="0" borderId="0" xfId="0" applyFont="1" applyAlignment="1">
      <alignment vertical="center"/>
    </xf>
    <xf numFmtId="0" fontId="21" fillId="0" borderId="0" xfId="0" applyFont="1" applyBorder="1" applyAlignment="1">
      <alignment horizontal="center" vertical="top" wrapText="1"/>
    </xf>
    <xf numFmtId="14" fontId="21" fillId="0" borderId="11" xfId="0" applyNumberFormat="1" applyFont="1" applyBorder="1" applyAlignment="1" applyProtection="1">
      <alignment horizontal="left" vertical="top" wrapText="1"/>
      <protection locked="0"/>
    </xf>
    <xf numFmtId="0" fontId="76" fillId="0" borderId="1" xfId="0" applyFont="1" applyBorder="1" applyAlignment="1">
      <alignment vertical="center"/>
    </xf>
    <xf numFmtId="0" fontId="77" fillId="0" borderId="1" xfId="0" applyFont="1" applyBorder="1" applyAlignment="1">
      <alignment/>
    </xf>
    <xf numFmtId="0" fontId="77" fillId="0" borderId="0" xfId="0" applyFont="1" applyAlignment="1">
      <alignment/>
    </xf>
    <xf numFmtId="0" fontId="77" fillId="0" borderId="0" xfId="0" applyFont="1" applyFill="1" applyBorder="1" applyAlignment="1">
      <alignment horizontal="center" vertical="top"/>
    </xf>
    <xf numFmtId="0" fontId="77" fillId="0" borderId="0" xfId="0" applyFont="1" applyFill="1" applyBorder="1" applyAlignment="1">
      <alignment vertical="top"/>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0" fontId="77" fillId="0" borderId="0" xfId="0" applyFont="1" applyFill="1" applyAlignment="1">
      <alignment vertical="top"/>
    </xf>
    <xf numFmtId="0" fontId="77" fillId="0" borderId="0" xfId="0" applyFont="1" applyFill="1" applyAlignment="1">
      <alignment vertical="top" wrapText="1"/>
    </xf>
    <xf numFmtId="0" fontId="76" fillId="0" borderId="1" xfId="0" applyFont="1" applyBorder="1" applyAlignment="1">
      <alignment horizontal="left" vertical="center"/>
    </xf>
    <xf numFmtId="0" fontId="76" fillId="0" borderId="1" xfId="0" applyFont="1" applyBorder="1" applyAlignment="1">
      <alignment horizontal="center" vertical="center"/>
    </xf>
    <xf numFmtId="0" fontId="76" fillId="0" borderId="1" xfId="0" applyFont="1" applyBorder="1" applyAlignment="1">
      <alignment horizontal="left" vertical="center"/>
    </xf>
    <xf numFmtId="0" fontId="77" fillId="0" borderId="0" xfId="0" applyFont="1" applyBorder="1" applyAlignment="1">
      <alignment/>
    </xf>
    <xf numFmtId="0" fontId="77" fillId="0" borderId="33" xfId="0" applyFont="1" applyFill="1" applyBorder="1" applyAlignment="1">
      <alignment horizontal="center" vertical="center"/>
    </xf>
    <xf numFmtId="0" fontId="77" fillId="0" borderId="34" xfId="0" applyFont="1" applyFill="1" applyBorder="1" applyAlignment="1">
      <alignment horizontal="center" vertical="center"/>
    </xf>
    <xf numFmtId="0" fontId="77" fillId="0" borderId="27" xfId="0" applyFont="1" applyFill="1" applyBorder="1" applyAlignment="1">
      <alignment horizontal="center" vertical="center" wrapText="1"/>
    </xf>
    <xf numFmtId="0" fontId="77" fillId="0" borderId="33"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33" xfId="0" applyFont="1" applyFill="1" applyBorder="1" applyAlignment="1">
      <alignment horizontal="left"/>
    </xf>
    <xf numFmtId="0" fontId="77" fillId="0" borderId="34" xfId="0" applyFont="1" applyFill="1" applyBorder="1" applyAlignment="1">
      <alignment horizontal="left"/>
    </xf>
    <xf numFmtId="2" fontId="77" fillId="0" borderId="27" xfId="0" applyNumberFormat="1" applyFont="1" applyFill="1" applyBorder="1" applyAlignment="1">
      <alignment horizontal="right"/>
    </xf>
    <xf numFmtId="0" fontId="77" fillId="0" borderId="27" xfId="0" applyFont="1" applyFill="1" applyBorder="1" applyAlignment="1">
      <alignment horizontal="right"/>
    </xf>
    <xf numFmtId="164" fontId="78" fillId="0" borderId="0" xfId="0" applyNumberFormat="1" applyFont="1" applyFill="1" applyAlignment="1">
      <alignment/>
    </xf>
    <xf numFmtId="2" fontId="78" fillId="0" borderId="33" xfId="0" applyNumberFormat="1" applyFont="1" applyFill="1" applyBorder="1" applyAlignment="1">
      <alignment horizontal="right"/>
    </xf>
    <xf numFmtId="0" fontId="77" fillId="0" borderId="4" xfId="0" applyFont="1" applyFill="1" applyBorder="1" applyAlignment="1">
      <alignment horizontal="left"/>
    </xf>
    <xf numFmtId="0" fontId="77" fillId="0" borderId="28" xfId="0" applyFont="1" applyFill="1" applyBorder="1" applyAlignment="1">
      <alignment horizontal="left"/>
    </xf>
    <xf numFmtId="2" fontId="78" fillId="0" borderId="29" xfId="0" applyNumberFormat="1" applyFont="1" applyFill="1" applyBorder="1" applyAlignment="1" quotePrefix="1">
      <alignment horizontal="right"/>
    </xf>
    <xf numFmtId="2" fontId="78" fillId="0" borderId="4" xfId="0" applyNumberFormat="1" applyFont="1" applyFill="1" applyBorder="1" applyAlignment="1" quotePrefix="1">
      <alignment horizontal="right"/>
    </xf>
    <xf numFmtId="0" fontId="77" fillId="0" borderId="0" xfId="0" applyFont="1" applyFill="1" applyBorder="1" applyAlignment="1">
      <alignment/>
    </xf>
    <xf numFmtId="0" fontId="77" fillId="0" borderId="29" xfId="0" applyFont="1" applyFill="1" applyBorder="1" applyAlignment="1">
      <alignment/>
    </xf>
    <xf numFmtId="2" fontId="78" fillId="0" borderId="4" xfId="0" applyNumberFormat="1" applyFont="1" applyFill="1" applyBorder="1" applyAlignment="1">
      <alignment horizontal="right"/>
    </xf>
    <xf numFmtId="0" fontId="77" fillId="0" borderId="0" xfId="0" applyFont="1" applyFill="1" applyBorder="1" applyAlignment="1">
      <alignment horizontal="right"/>
    </xf>
    <xf numFmtId="0" fontId="77" fillId="0" borderId="29" xfId="0" applyFont="1" applyFill="1" applyBorder="1" applyAlignment="1">
      <alignment horizontal="right"/>
    </xf>
    <xf numFmtId="2" fontId="78" fillId="0" borderId="0" xfId="0" applyNumberFormat="1" applyFont="1" applyFill="1" applyBorder="1" applyAlignment="1">
      <alignment horizontal="right"/>
    </xf>
    <xf numFmtId="2" fontId="78" fillId="0" borderId="29" xfId="0" applyNumberFormat="1" applyFont="1" applyFill="1" applyBorder="1" applyAlignment="1">
      <alignment horizontal="right"/>
    </xf>
    <xf numFmtId="164" fontId="78" fillId="0" borderId="29" xfId="0" applyNumberFormat="1" applyFont="1" applyFill="1" applyBorder="1" applyAlignment="1">
      <alignment horizontal="right"/>
    </xf>
    <xf numFmtId="0" fontId="77" fillId="0" borderId="0" xfId="0" applyFont="1" applyFill="1" applyBorder="1" applyAlignment="1">
      <alignment/>
    </xf>
    <xf numFmtId="2" fontId="78" fillId="0" borderId="25" xfId="0" applyNumberFormat="1" applyFont="1" applyFill="1" applyBorder="1" applyAlignment="1">
      <alignment horizontal="right"/>
    </xf>
    <xf numFmtId="2" fontId="78" fillId="0" borderId="23" xfId="0" applyNumberFormat="1" applyFont="1" applyFill="1" applyBorder="1" applyAlignment="1">
      <alignment horizontal="right"/>
    </xf>
    <xf numFmtId="0" fontId="77" fillId="0" borderId="30" xfId="0" applyFont="1" applyFill="1" applyBorder="1" applyAlignment="1">
      <alignment horizontal="left" vertical="center"/>
    </xf>
    <xf numFmtId="0" fontId="77" fillId="0" borderId="31" xfId="0" applyFont="1" applyFill="1" applyBorder="1" applyAlignment="1">
      <alignment horizontal="left" vertical="center"/>
    </xf>
    <xf numFmtId="0" fontId="77" fillId="0" borderId="30" xfId="0" applyFont="1" applyFill="1" applyBorder="1" applyAlignment="1">
      <alignment horizontal="center" vertical="center"/>
    </xf>
    <xf numFmtId="0" fontId="77" fillId="0" borderId="0" xfId="0" applyFont="1" applyFill="1" applyBorder="1" applyAlignment="1">
      <alignment horizontal="left" vertical="top" wrapText="1"/>
    </xf>
    <xf numFmtId="0" fontId="77" fillId="0" borderId="0" xfId="0" applyFont="1" applyFill="1" applyBorder="1" applyAlignment="1">
      <alignment horizontal="left" vertical="top" wrapText="1"/>
    </xf>
    <xf numFmtId="0" fontId="77" fillId="0" borderId="30"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77" fillId="0" borderId="0" xfId="0" applyFont="1" applyFill="1" applyAlignment="1">
      <alignment horizontal="center" wrapText="1"/>
    </xf>
    <xf numFmtId="0" fontId="77" fillId="0" borderId="30" xfId="0" applyFont="1" applyFill="1" applyBorder="1" applyAlignment="1">
      <alignment horizontal="center" vertical="center" wrapText="1"/>
    </xf>
    <xf numFmtId="1" fontId="77" fillId="0" borderId="0" xfId="0" applyNumberFormat="1" applyFont="1" applyFill="1" applyBorder="1" applyAlignment="1">
      <alignment horizontal="right"/>
    </xf>
    <xf numFmtId="2" fontId="78" fillId="0" borderId="27" xfId="0" applyNumberFormat="1" applyFont="1" applyFill="1" applyBorder="1" applyAlignment="1">
      <alignment horizontal="right"/>
    </xf>
    <xf numFmtId="0" fontId="77" fillId="0" borderId="27" xfId="0" applyFont="1" applyFill="1" applyBorder="1" applyAlignment="1">
      <alignment horizontal="center"/>
    </xf>
    <xf numFmtId="164" fontId="77" fillId="0" borderId="29" xfId="100" applyNumberFormat="1" applyFont="1" applyFill="1" applyBorder="1" applyAlignment="1" quotePrefix="1">
      <alignment horizontal="center"/>
    </xf>
    <xf numFmtId="164" fontId="77" fillId="0" borderId="27" xfId="100" applyNumberFormat="1" applyFont="1" applyFill="1" applyBorder="1" applyAlignment="1">
      <alignment horizontal="right"/>
    </xf>
    <xf numFmtId="2" fontId="77" fillId="0" borderId="29" xfId="0" applyNumberFormat="1" applyFont="1" applyFill="1" applyBorder="1" applyAlignment="1">
      <alignment/>
    </xf>
    <xf numFmtId="2" fontId="77" fillId="0" borderId="4" xfId="0" applyNumberFormat="1" applyFont="1" applyFill="1" applyBorder="1" applyAlignment="1">
      <alignment/>
    </xf>
    <xf numFmtId="1" fontId="78" fillId="0" borderId="29" xfId="100" applyNumberFormat="1" applyFont="1" applyFill="1" applyBorder="1" applyAlignment="1" quotePrefix="1">
      <alignment horizontal="right"/>
    </xf>
    <xf numFmtId="1" fontId="77" fillId="0" borderId="29" xfId="100" applyNumberFormat="1" applyFont="1" applyFill="1" applyBorder="1" applyAlignment="1" quotePrefix="1">
      <alignment horizontal="center"/>
    </xf>
    <xf numFmtId="2" fontId="79" fillId="0" borderId="29" xfId="0" applyNumberFormat="1" applyFont="1" applyFill="1" applyBorder="1" applyAlignment="1">
      <alignment horizontal="right"/>
    </xf>
    <xf numFmtId="0" fontId="77" fillId="0" borderId="29" xfId="0" applyFont="1" applyFill="1" applyBorder="1" applyAlignment="1">
      <alignment horizontal="center"/>
    </xf>
    <xf numFmtId="164" fontId="78" fillId="0" borderId="29" xfId="100" applyNumberFormat="1" applyFont="1" applyFill="1" applyBorder="1" applyAlignment="1" quotePrefix="1">
      <alignment horizontal="center"/>
    </xf>
    <xf numFmtId="164" fontId="24" fillId="0" borderId="29" xfId="100" applyNumberFormat="1" applyFont="1" applyFill="1" applyBorder="1" applyAlignment="1">
      <alignment horizontal="right"/>
    </xf>
    <xf numFmtId="2" fontId="78" fillId="0" borderId="4" xfId="0" applyNumberFormat="1" applyFont="1" applyFill="1" applyBorder="1" applyAlignment="1">
      <alignment/>
    </xf>
    <xf numFmtId="164" fontId="77" fillId="0" borderId="29" xfId="0" applyNumberFormat="1" applyFont="1" applyFill="1" applyBorder="1" applyAlignment="1" quotePrefix="1">
      <alignment horizontal="center"/>
    </xf>
    <xf numFmtId="164" fontId="77" fillId="0" borderId="29" xfId="100" applyNumberFormat="1" applyFont="1" applyFill="1" applyBorder="1" applyAlignment="1">
      <alignment horizontal="right"/>
    </xf>
    <xf numFmtId="2" fontId="77" fillId="0" borderId="29" xfId="0" applyNumberFormat="1" applyFont="1" applyFill="1" applyBorder="1" applyAlignment="1">
      <alignment horizontal="right"/>
    </xf>
    <xf numFmtId="1" fontId="78" fillId="0" borderId="4" xfId="0" applyNumberFormat="1" applyFont="1" applyFill="1" applyBorder="1" applyAlignment="1">
      <alignment horizontal="right"/>
    </xf>
    <xf numFmtId="164" fontId="78" fillId="0" borderId="4" xfId="0" applyNumberFormat="1" applyFont="1" applyFill="1" applyBorder="1" applyAlignment="1">
      <alignment/>
    </xf>
    <xf numFmtId="164" fontId="78" fillId="0" borderId="29" xfId="100" applyNumberFormat="1" applyFont="1" applyFill="1" applyBorder="1" applyAlignment="1">
      <alignment horizontal="right"/>
    </xf>
    <xf numFmtId="2" fontId="78" fillId="0" borderId="29" xfId="0" applyNumberFormat="1" applyFont="1" applyFill="1" applyBorder="1" applyAlignment="1">
      <alignment/>
    </xf>
    <xf numFmtId="0" fontId="77" fillId="0" borderId="25" xfId="0" applyFont="1" applyFill="1" applyBorder="1" applyAlignment="1">
      <alignment/>
    </xf>
    <xf numFmtId="1" fontId="78" fillId="0" borderId="25" xfId="0" applyNumberFormat="1" applyFont="1" applyFill="1" applyBorder="1" applyAlignment="1">
      <alignment horizontal="right"/>
    </xf>
    <xf numFmtId="164" fontId="78" fillId="0" borderId="25" xfId="100" applyNumberFormat="1" applyFont="1" applyFill="1" applyBorder="1" applyAlignment="1">
      <alignment horizontal="right"/>
    </xf>
    <xf numFmtId="0" fontId="77" fillId="0" borderId="0" xfId="0" applyFont="1" applyFill="1" applyAlignment="1">
      <alignment horizontal="center" vertical="top"/>
    </xf>
    <xf numFmtId="0" fontId="77" fillId="0" borderId="0" xfId="0" applyFont="1" applyFill="1" applyAlignment="1">
      <alignment horizontal="left" vertical="top" wrapText="1"/>
    </xf>
    <xf numFmtId="0" fontId="26" fillId="0" borderId="0" xfId="0" applyFont="1" applyFill="1" applyBorder="1" applyAlignment="1">
      <alignment horizontal="left" vertical="top" wrapText="1"/>
    </xf>
    <xf numFmtId="0" fontId="80" fillId="0" borderId="0" xfId="0" applyFont="1" applyFill="1" applyBorder="1" applyAlignment="1" applyProtection="1">
      <alignment horizontal="left" vertical="top" wrapText="1"/>
      <protection locked="0"/>
    </xf>
    <xf numFmtId="0" fontId="76" fillId="0" borderId="3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4"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6" xfId="0" applyFont="1" applyBorder="1" applyAlignment="1">
      <alignment horizontal="center" vertical="center"/>
    </xf>
    <xf numFmtId="0" fontId="77" fillId="0" borderId="30" xfId="0" applyFont="1" applyBorder="1" applyAlignment="1">
      <alignment horizontal="center" vertical="center"/>
    </xf>
    <xf numFmtId="164" fontId="77" fillId="0" borderId="29" xfId="100" applyNumberFormat="1" applyFont="1" applyBorder="1" applyAlignment="1" quotePrefix="1">
      <alignment/>
    </xf>
    <xf numFmtId="166" fontId="77" fillId="0" borderId="29" xfId="100" applyNumberFormat="1" applyFont="1" applyBorder="1" applyAlignment="1" quotePrefix="1">
      <alignment/>
    </xf>
    <xf numFmtId="166" fontId="77" fillId="0" borderId="4" xfId="100" applyNumberFormat="1" applyFont="1" applyBorder="1" applyAlignment="1" quotePrefix="1">
      <alignment/>
    </xf>
    <xf numFmtId="0" fontId="77" fillId="0" borderId="28" xfId="0" applyFont="1" applyBorder="1" applyAlignment="1">
      <alignment/>
    </xf>
    <xf numFmtId="164" fontId="79" fillId="0" borderId="29" xfId="100" applyNumberFormat="1" applyFont="1" applyBorder="1" applyAlignment="1">
      <alignment horizontal="center"/>
    </xf>
    <xf numFmtId="43" fontId="79" fillId="0" borderId="29" xfId="100" applyNumberFormat="1" applyFont="1" applyBorder="1" applyAlignment="1" quotePrefix="1">
      <alignment/>
    </xf>
    <xf numFmtId="43" fontId="79" fillId="0" borderId="0" xfId="0" applyNumberFormat="1" applyFont="1" applyAlignment="1">
      <alignment/>
    </xf>
    <xf numFmtId="166" fontId="81" fillId="0" borderId="29" xfId="100" applyNumberFormat="1" applyFont="1" applyBorder="1" applyAlignment="1" quotePrefix="1">
      <alignment/>
    </xf>
    <xf numFmtId="166" fontId="79" fillId="0" borderId="29" xfId="100" applyNumberFormat="1" applyFont="1" applyBorder="1" applyAlignment="1" quotePrefix="1">
      <alignment/>
    </xf>
    <xf numFmtId="164" fontId="77" fillId="0" borderId="29" xfId="100" applyNumberFormat="1" applyFont="1" applyBorder="1" applyAlignment="1">
      <alignment horizontal="center"/>
    </xf>
    <xf numFmtId="0" fontId="77" fillId="0" borderId="25" xfId="0" applyFont="1" applyBorder="1" applyAlignment="1">
      <alignment horizontal="center"/>
    </xf>
    <xf numFmtId="0" fontId="77" fillId="0" borderId="0" xfId="0" applyFont="1" applyAlignment="1">
      <alignment horizontal="center"/>
    </xf>
    <xf numFmtId="0" fontId="77" fillId="0" borderId="26" xfId="0" applyFont="1" applyBorder="1" applyAlignment="1">
      <alignment vertical="center"/>
    </xf>
    <xf numFmtId="0" fontId="77" fillId="0" borderId="30" xfId="0" applyFont="1" applyBorder="1" applyAlignment="1">
      <alignment vertical="center"/>
    </xf>
    <xf numFmtId="0" fontId="77" fillId="0" borderId="30" xfId="0" applyFont="1" applyBorder="1" applyAlignment="1">
      <alignment horizontal="center" vertical="center"/>
    </xf>
    <xf numFmtId="0" fontId="77" fillId="0" borderId="1" xfId="0" applyFont="1" applyBorder="1" applyAlignment="1">
      <alignment horizontal="center" vertical="center"/>
    </xf>
    <xf numFmtId="0" fontId="77" fillId="0" borderId="31" xfId="0" applyFont="1" applyBorder="1" applyAlignment="1">
      <alignment horizontal="center" vertical="center"/>
    </xf>
    <xf numFmtId="0" fontId="77" fillId="0" borderId="0" xfId="0" applyFont="1" applyAlignment="1">
      <alignment horizontal="center" vertical="top"/>
    </xf>
    <xf numFmtId="0" fontId="77" fillId="0" borderId="0" xfId="0" applyFont="1" applyAlignment="1">
      <alignment horizontal="left" vertical="top" wrapText="1"/>
    </xf>
    <xf numFmtId="0" fontId="77" fillId="0" borderId="0" xfId="0" applyFont="1" applyAlignment="1">
      <alignment horizontal="left" vertical="center" wrapText="1"/>
    </xf>
    <xf numFmtId="0" fontId="77" fillId="0" borderId="0" xfId="0" applyFont="1" applyAlignment="1">
      <alignment horizontal="left" vertical="center" wrapText="1"/>
    </xf>
    <xf numFmtId="0" fontId="77" fillId="0" borderId="0" xfId="0" applyFont="1" applyBorder="1" applyAlignment="1">
      <alignment horizontal="center" vertical="top"/>
    </xf>
    <xf numFmtId="0" fontId="77" fillId="0" borderId="0" xfId="0" applyFont="1" applyBorder="1" applyAlignment="1">
      <alignment horizontal="left" vertical="top" wrapText="1"/>
    </xf>
    <xf numFmtId="0" fontId="77" fillId="0" borderId="31" xfId="0" applyFont="1" applyBorder="1" applyAlignment="1">
      <alignment/>
    </xf>
    <xf numFmtId="0" fontId="77" fillId="0" borderId="24" xfId="0" applyFont="1" applyBorder="1" applyAlignment="1">
      <alignment horizontal="center" vertical="center"/>
    </xf>
    <xf numFmtId="0" fontId="77" fillId="0" borderId="25" xfId="0" applyFont="1" applyBorder="1" applyAlignment="1">
      <alignment horizontal="center" vertical="center"/>
    </xf>
    <xf numFmtId="0" fontId="77" fillId="0" borderId="11" xfId="0" applyFont="1" applyBorder="1" applyAlignment="1">
      <alignment horizontal="center" vertical="center"/>
    </xf>
    <xf numFmtId="0" fontId="77" fillId="0" borderId="34" xfId="0" applyFont="1" applyBorder="1" applyAlignment="1">
      <alignment/>
    </xf>
    <xf numFmtId="164" fontId="77" fillId="0" borderId="4" xfId="100" applyNumberFormat="1" applyFont="1" applyBorder="1" applyAlignment="1" quotePrefix="1">
      <alignment/>
    </xf>
    <xf numFmtId="0" fontId="77" fillId="0" borderId="24" xfId="0" applyFont="1" applyBorder="1" applyAlignment="1">
      <alignment/>
    </xf>
    <xf numFmtId="0" fontId="77" fillId="0" borderId="31" xfId="0" applyFont="1" applyBorder="1" applyAlignment="1">
      <alignment horizontal="center" vertical="center"/>
    </xf>
    <xf numFmtId="164" fontId="77" fillId="0" borderId="1" xfId="100" applyNumberFormat="1" applyFont="1" applyBorder="1" applyAlignment="1">
      <alignment horizontal="center" vertical="center"/>
    </xf>
    <xf numFmtId="164" fontId="77" fillId="0" borderId="0" xfId="0" applyNumberFormat="1" applyFont="1" applyAlignment="1">
      <alignment horizontal="center"/>
    </xf>
    <xf numFmtId="164" fontId="77" fillId="0" borderId="0" xfId="100" applyNumberFormat="1" applyFont="1" applyAlignment="1">
      <alignment/>
    </xf>
    <xf numFmtId="0" fontId="26" fillId="0" borderId="0" xfId="0" applyFont="1" applyAlignment="1">
      <alignment horizontal="left" vertical="top" wrapText="1"/>
    </xf>
    <xf numFmtId="0" fontId="26" fillId="0" borderId="0" xfId="0" applyFont="1" applyAlignment="1">
      <alignment vertical="center" wrapText="1"/>
    </xf>
    <xf numFmtId="167" fontId="77" fillId="0" borderId="0" xfId="0" applyNumberFormat="1" applyFont="1" applyAlignment="1">
      <alignment/>
    </xf>
    <xf numFmtId="0" fontId="76" fillId="0" borderId="11" xfId="0" applyFont="1" applyBorder="1" applyAlignment="1">
      <alignment horizontal="center" vertical="center" wrapText="1"/>
    </xf>
    <xf numFmtId="0" fontId="76" fillId="0" borderId="0" xfId="0" applyFont="1" applyBorder="1" applyAlignment="1">
      <alignment horizontal="center" vertical="center" wrapText="1"/>
    </xf>
    <xf numFmtId="0" fontId="77" fillId="0" borderId="32" xfId="0" applyFont="1" applyBorder="1" applyAlignment="1">
      <alignment horizontal="center" vertical="center"/>
    </xf>
    <xf numFmtId="0" fontId="77" fillId="0" borderId="34" xfId="0" applyFont="1" applyBorder="1" applyAlignment="1">
      <alignment horizontal="center" vertical="center"/>
    </xf>
    <xf numFmtId="0" fontId="77" fillId="0" borderId="0" xfId="0" applyFont="1" applyBorder="1" applyAlignment="1">
      <alignment horizontal="center" vertical="center"/>
    </xf>
    <xf numFmtId="0" fontId="77" fillId="0" borderId="28" xfId="0" applyFont="1" applyBorder="1" applyAlignment="1">
      <alignment horizontal="center" vertical="center"/>
    </xf>
    <xf numFmtId="0" fontId="77" fillId="0" borderId="26"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11" xfId="0" applyFont="1" applyBorder="1" applyAlignment="1">
      <alignment horizontal="center" vertical="center"/>
    </xf>
    <xf numFmtId="0" fontId="77" fillId="0" borderId="24" xfId="0" applyFont="1" applyBorder="1" applyAlignment="1">
      <alignment horizontal="center" vertical="center"/>
    </xf>
    <xf numFmtId="0" fontId="77" fillId="0" borderId="26"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32" xfId="0" applyFont="1" applyBorder="1" applyAlignment="1">
      <alignment horizontal="left"/>
    </xf>
    <xf numFmtId="0" fontId="77" fillId="0" borderId="34" xfId="0" applyFont="1" applyBorder="1" applyAlignment="1">
      <alignment horizontal="left"/>
    </xf>
    <xf numFmtId="10" fontId="78" fillId="0" borderId="27" xfId="151" applyNumberFormat="1" applyFont="1" applyBorder="1" applyAlignment="1">
      <alignment/>
    </xf>
    <xf numFmtId="10" fontId="78" fillId="0" borderId="0" xfId="151" applyNumberFormat="1" applyFont="1" applyAlignment="1">
      <alignment horizontal="right"/>
    </xf>
    <xf numFmtId="10" fontId="78" fillId="0" borderId="0" xfId="151" applyNumberFormat="1" applyFont="1" applyAlignment="1">
      <alignment/>
    </xf>
    <xf numFmtId="10" fontId="78" fillId="0" borderId="33" xfId="151" applyNumberFormat="1" applyFont="1" applyBorder="1" applyAlignment="1">
      <alignment/>
    </xf>
    <xf numFmtId="43" fontId="77" fillId="0" borderId="0" xfId="0" applyNumberFormat="1" applyFont="1" applyAlignment="1">
      <alignment/>
    </xf>
    <xf numFmtId="0" fontId="77" fillId="0" borderId="0" xfId="0" applyFont="1" applyBorder="1" applyAlignment="1">
      <alignment horizontal="left"/>
    </xf>
    <xf numFmtId="0" fontId="77" fillId="0" borderId="28" xfId="0" applyFont="1" applyBorder="1" applyAlignment="1">
      <alignment horizontal="left"/>
    </xf>
    <xf numFmtId="10" fontId="78" fillId="0" borderId="29" xfId="151" applyNumberFormat="1" applyFont="1" applyBorder="1" applyAlignment="1">
      <alignment/>
    </xf>
    <xf numFmtId="10" fontId="78" fillId="0" borderId="4" xfId="151" applyNumberFormat="1" applyFont="1" applyBorder="1" applyAlignment="1">
      <alignment/>
    </xf>
    <xf numFmtId="164" fontId="77" fillId="0" borderId="0" xfId="0" applyNumberFormat="1" applyFont="1" applyAlignment="1">
      <alignment/>
    </xf>
    <xf numFmtId="10" fontId="77" fillId="0" borderId="29" xfId="151" applyNumberFormat="1" applyFont="1" applyBorder="1" applyAlignment="1">
      <alignment/>
    </xf>
    <xf numFmtId="0" fontId="77" fillId="0" borderId="1" xfId="0" applyFont="1" applyBorder="1" applyAlignment="1">
      <alignment horizontal="left" vertical="center"/>
    </xf>
    <xf numFmtId="0" fontId="77" fillId="0" borderId="31" xfId="0" applyFont="1" applyBorder="1" applyAlignment="1">
      <alignment horizontal="left" vertical="center"/>
    </xf>
    <xf numFmtId="11" fontId="77" fillId="0" borderId="0" xfId="0" applyNumberFormat="1" applyFont="1" applyAlignment="1">
      <alignment horizontal="left" vertical="top" wrapText="1"/>
    </xf>
    <xf numFmtId="0" fontId="77" fillId="0" borderId="27"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3" xfId="0" applyFont="1" applyBorder="1" applyAlignment="1">
      <alignment horizontal="center" vertical="center" wrapText="1"/>
    </xf>
    <xf numFmtId="164" fontId="78" fillId="0" borderId="27" xfId="100" applyNumberFormat="1" applyFont="1" applyBorder="1" applyAlignment="1">
      <alignment/>
    </xf>
    <xf numFmtId="2" fontId="78" fillId="0" borderId="27" xfId="0" applyNumberFormat="1" applyFont="1" applyBorder="1" applyAlignment="1">
      <alignment/>
    </xf>
    <xf numFmtId="164" fontId="78" fillId="0" borderId="0" xfId="100" applyNumberFormat="1" applyFont="1" applyAlignment="1">
      <alignment/>
    </xf>
    <xf numFmtId="164" fontId="77" fillId="0" borderId="27" xfId="100" applyNumberFormat="1" applyFont="1" applyBorder="1" applyAlignment="1">
      <alignment/>
    </xf>
    <xf numFmtId="164" fontId="78" fillId="0" borderId="29" xfId="100" applyNumberFormat="1" applyFont="1" applyBorder="1" applyAlignment="1">
      <alignment/>
    </xf>
    <xf numFmtId="2" fontId="77" fillId="0" borderId="29" xfId="0" applyNumberFormat="1" applyFont="1" applyBorder="1" applyAlignment="1">
      <alignment/>
    </xf>
    <xf numFmtId="164" fontId="79" fillId="0" borderId="29" xfId="100" applyNumberFormat="1" applyFont="1" applyBorder="1" applyAlignment="1">
      <alignment/>
    </xf>
    <xf numFmtId="164" fontId="77" fillId="0" borderId="29" xfId="100" applyNumberFormat="1" applyFont="1" applyBorder="1" applyAlignment="1">
      <alignment/>
    </xf>
    <xf numFmtId="2" fontId="78" fillId="0" borderId="29" xfId="0" applyNumberFormat="1" applyFont="1" applyBorder="1" applyAlignment="1">
      <alignment/>
    </xf>
    <xf numFmtId="0" fontId="77" fillId="0" borderId="25" xfId="0" applyFont="1" applyBorder="1" applyAlignment="1">
      <alignment/>
    </xf>
    <xf numFmtId="43" fontId="77" fillId="0" borderId="23" xfId="100" applyNumberFormat="1" applyFont="1" applyBorder="1" applyAlignment="1">
      <alignment/>
    </xf>
    <xf numFmtId="164" fontId="77" fillId="0" borderId="25" xfId="100" applyNumberFormat="1" applyFont="1" applyBorder="1" applyAlignment="1">
      <alignment/>
    </xf>
    <xf numFmtId="164" fontId="77" fillId="0" borderId="23" xfId="100" applyNumberFormat="1" applyFont="1" applyBorder="1" applyAlignment="1">
      <alignment/>
    </xf>
    <xf numFmtId="0" fontId="77" fillId="0" borderId="0" xfId="0" applyFont="1" applyBorder="1" applyAlignment="1">
      <alignment/>
    </xf>
    <xf numFmtId="0" fontId="77" fillId="0" borderId="32" xfId="0" applyFont="1" applyBorder="1" applyAlignment="1">
      <alignment horizontal="center" vertical="top" wrapText="1"/>
    </xf>
    <xf numFmtId="0" fontId="77" fillId="0" borderId="0" xfId="0" applyFont="1" applyBorder="1" applyAlignment="1">
      <alignment horizontal="center" vertical="top" wrapText="1"/>
    </xf>
    <xf numFmtId="0" fontId="77" fillId="0" borderId="32" xfId="0" applyFont="1" applyBorder="1" applyAlignment="1">
      <alignment/>
    </xf>
    <xf numFmtId="0" fontId="77" fillId="0" borderId="30" xfId="0" applyFont="1" applyBorder="1" applyAlignment="1">
      <alignment horizontal="center" vertical="center" wrapText="1"/>
    </xf>
    <xf numFmtId="0" fontId="77" fillId="0" borderId="1" xfId="0" applyFont="1" applyBorder="1" applyAlignment="1">
      <alignment horizontal="center" vertical="center" wrapText="1"/>
    </xf>
    <xf numFmtId="0" fontId="77" fillId="0" borderId="31" xfId="0" applyFont="1" applyBorder="1" applyAlignment="1">
      <alignment horizontal="center" vertical="center" wrapText="1"/>
    </xf>
    <xf numFmtId="164" fontId="77" fillId="0" borderId="0" xfId="100" applyNumberFormat="1" applyFont="1" applyBorder="1" applyAlignment="1">
      <alignment/>
    </xf>
    <xf numFmtId="11" fontId="77" fillId="0" borderId="0" xfId="100" applyNumberFormat="1" applyFont="1" applyAlignment="1">
      <alignment/>
    </xf>
    <xf numFmtId="164" fontId="78" fillId="0" borderId="0" xfId="100" applyNumberFormat="1" applyFont="1" applyBorder="1" applyAlignment="1">
      <alignment/>
    </xf>
    <xf numFmtId="164" fontId="78" fillId="0" borderId="33" xfId="100" applyNumberFormat="1" applyFont="1" applyBorder="1" applyAlignment="1">
      <alignment/>
    </xf>
    <xf numFmtId="11" fontId="77" fillId="0" borderId="33" xfId="100" applyNumberFormat="1" applyFont="1" applyBorder="1" applyAlignment="1">
      <alignment/>
    </xf>
    <xf numFmtId="164" fontId="78" fillId="0" borderId="4" xfId="100" applyNumberFormat="1" applyFont="1" applyBorder="1" applyAlignment="1">
      <alignment/>
    </xf>
    <xf numFmtId="11" fontId="77" fillId="0" borderId="4" xfId="100" applyNumberFormat="1" applyFont="1" applyBorder="1" applyAlignment="1">
      <alignment/>
    </xf>
    <xf numFmtId="0" fontId="77" fillId="0" borderId="24" xfId="0" applyFont="1" applyBorder="1" applyAlignment="1">
      <alignment/>
    </xf>
    <xf numFmtId="164" fontId="77" fillId="0" borderId="4" xfId="100" applyNumberFormat="1" applyFont="1" applyBorder="1" applyAlignment="1">
      <alignment/>
    </xf>
    <xf numFmtId="0" fontId="77" fillId="0" borderId="23" xfId="0" applyFont="1" applyBorder="1" applyAlignment="1">
      <alignment/>
    </xf>
    <xf numFmtId="1" fontId="77" fillId="0" borderId="30" xfId="0" applyNumberFormat="1" applyFont="1" applyBorder="1" applyAlignment="1">
      <alignment horizontal="center" vertical="center"/>
    </xf>
    <xf numFmtId="1" fontId="77" fillId="0" borderId="0" xfId="0" applyNumberFormat="1" applyFont="1" applyAlignment="1">
      <alignment horizontal="center" vertical="top"/>
    </xf>
    <xf numFmtId="0" fontId="77" fillId="0" borderId="32" xfId="0" applyFont="1" applyBorder="1" applyAlignment="1">
      <alignment horizontal="left" vertical="top" wrapText="1"/>
    </xf>
    <xf numFmtId="1" fontId="77" fillId="0" borderId="0" xfId="0" applyNumberFormat="1" applyFont="1" applyBorder="1" applyAlignment="1">
      <alignment horizontal="center" vertical="top"/>
    </xf>
    <xf numFmtId="0" fontId="76" fillId="0" borderId="0" xfId="0" applyFont="1" applyBorder="1" applyAlignment="1">
      <alignment horizontal="center" vertical="center"/>
    </xf>
    <xf numFmtId="0" fontId="77" fillId="0" borderId="1" xfId="0" applyFont="1" applyBorder="1" applyAlignment="1">
      <alignment horizontal="center" vertical="center"/>
    </xf>
    <xf numFmtId="0" fontId="77" fillId="0" borderId="0" xfId="0" applyFont="1" applyBorder="1" applyAlignment="1">
      <alignment horizontal="left" vertical="center"/>
    </xf>
    <xf numFmtId="3" fontId="77" fillId="0" borderId="27" xfId="0" applyNumberFormat="1" applyFont="1" applyBorder="1" applyAlignment="1">
      <alignment horizontal="right" vertical="center"/>
    </xf>
    <xf numFmtId="44" fontId="77" fillId="0" borderId="27" xfId="106" applyFont="1" applyBorder="1" applyAlignment="1">
      <alignment horizontal="right" vertical="center"/>
    </xf>
    <xf numFmtId="3" fontId="77" fillId="0" borderId="29" xfId="0" applyNumberFormat="1" applyFont="1" applyBorder="1" applyAlignment="1">
      <alignment horizontal="right" vertical="center"/>
    </xf>
    <xf numFmtId="44" fontId="77" fillId="0" borderId="29" xfId="106" applyFont="1" applyBorder="1" applyAlignment="1">
      <alignment horizontal="right" vertical="center"/>
    </xf>
    <xf numFmtId="3" fontId="78" fillId="0" borderId="29" xfId="0" applyNumberFormat="1" applyFont="1" applyBorder="1" applyAlignment="1">
      <alignment horizontal="right" vertical="center"/>
    </xf>
    <xf numFmtId="44" fontId="78" fillId="0" borderId="29" xfId="106" applyFont="1" applyBorder="1" applyAlignment="1">
      <alignment horizontal="right" vertical="center"/>
    </xf>
    <xf numFmtId="0" fontId="77" fillId="0" borderId="28" xfId="0" applyFont="1" applyBorder="1" applyAlignment="1">
      <alignment horizontal="left" vertical="center"/>
    </xf>
    <xf numFmtId="0" fontId="77" fillId="0" borderId="11" xfId="0" applyFont="1" applyBorder="1" applyAlignment="1">
      <alignment horizontal="left" vertical="center"/>
    </xf>
    <xf numFmtId="0" fontId="77" fillId="0" borderId="24" xfId="0" applyFont="1" applyBorder="1" applyAlignment="1">
      <alignment horizontal="left" vertical="center"/>
    </xf>
    <xf numFmtId="3" fontId="78" fillId="0" borderId="25" xfId="0" applyNumberFormat="1" applyFont="1" applyBorder="1" applyAlignment="1">
      <alignment horizontal="right" vertical="center"/>
    </xf>
    <xf numFmtId="44" fontId="78" fillId="0" borderId="25" xfId="106" applyFont="1" applyBorder="1" applyAlignment="1">
      <alignment horizontal="right" vertical="center"/>
    </xf>
    <xf numFmtId="0" fontId="77" fillId="0" borderId="0" xfId="0" applyFont="1" applyBorder="1" applyAlignment="1">
      <alignment horizontal="left" vertical="center"/>
    </xf>
    <xf numFmtId="3" fontId="78" fillId="0" borderId="0" xfId="0" applyNumberFormat="1" applyFont="1" applyBorder="1" applyAlignment="1">
      <alignment horizontal="right" vertical="center"/>
    </xf>
    <xf numFmtId="0" fontId="77" fillId="0" borderId="0" xfId="0" applyFont="1" applyBorder="1" applyAlignment="1">
      <alignment horizontal="left" vertical="top"/>
    </xf>
    <xf numFmtId="44" fontId="78" fillId="0" borderId="11" xfId="106" applyFont="1" applyBorder="1" applyAlignment="1">
      <alignment horizontal="right" vertical="center"/>
    </xf>
    <xf numFmtId="0" fontId="26" fillId="0" borderId="0" xfId="0" applyFont="1" applyFill="1" applyAlignment="1">
      <alignment horizontal="left" vertical="top" wrapText="1"/>
    </xf>
  </cellXfs>
  <cellStyles count="182">
    <cellStyle name="Normal" xfId="0"/>
    <cellStyle name="_10 I+D (formula)" xfId="15"/>
    <cellStyle name="_12" xfId="16"/>
    <cellStyle name="_12 EJC (formula)" xfId="17"/>
    <cellStyle name="_12 PF (formula)" xfId="18"/>
    <cellStyle name="_14 (formula)" xfId="19"/>
    <cellStyle name="_15 EJC (formula)" xfId="20"/>
    <cellStyle name="_15xSec_PF (cocina)" xfId="21"/>
    <cellStyle name="_18Grado" xfId="22"/>
    <cellStyle name="_18Grado (cocina)" xfId="23"/>
    <cellStyle name="_20Doctorados (br ok" xfId="24"/>
    <cellStyle name="_29b" xfId="25"/>
    <cellStyle name="_29c" xfId="26"/>
    <cellStyle name="_29e" xfId="27"/>
    <cellStyle name="_29g" xfId="28"/>
    <cellStyle name="_29i" xfId="29"/>
    <cellStyle name="_4ACT (br ok" xfId="30"/>
    <cellStyle name="_4ACT (br ok sv ok" xfId="31"/>
    <cellStyle name="_4I+D" xfId="32"/>
    <cellStyle name="_8 (formula)" xfId="33"/>
    <cellStyle name="_9 I+D (formula)" xfId="34"/>
    <cellStyle name="_ACAD-b22" xfId="35"/>
    <cellStyle name="_ACAD-b29" xfId="36"/>
    <cellStyle name="_ACAD-b74" xfId="37"/>
    <cellStyle name="_Appendix-29 tables -- May 19" xfId="38"/>
    <cellStyle name="_B16" xfId="39"/>
    <cellStyle name="_B27" xfId="40"/>
    <cellStyle name="_comparativos2" xfId="41"/>
    <cellStyle name="_Data Generation for 1998, August 17" xfId="42"/>
    <cellStyle name="_FF-tabc14" xfId="43"/>
    <cellStyle name="_FF-tabc83" xfId="44"/>
    <cellStyle name="_FF-tabc85" xfId="45"/>
    <cellStyle name="_fig04-01_JJ" xfId="46"/>
    <cellStyle name="_hist7" xfId="47"/>
    <cellStyle name="_Information Generator for 1999 Indicators, May 25" xfId="48"/>
    <cellStyle name="_NAT-OBJ Revised" xfId="49"/>
    <cellStyle name="_New State Table for 1998, March 12, 2001" xfId="50"/>
    <cellStyle name="_pbi" xfId="51"/>
    <cellStyle name="_PUBLICACIONES" xfId="52"/>
    <cellStyle name="_SEI Tables, May 17" xfId="53"/>
    <cellStyle name="_SEI Tables, May 19" xfId="54"/>
    <cellStyle name="_SEI Tables, May 19 b" xfId="55"/>
    <cellStyle name="_SEI Tables, May 3" xfId="56"/>
    <cellStyle name="_Sept. 19, Tables and Database for NP98.xls Chart 12" xfId="57"/>
    <cellStyle name="_Sept. 19, Tables and Database for NP98.xls Chart 4" xfId="58"/>
    <cellStyle name="_Sept. 19, Tables and Database for NP98.xls Chart 6" xfId="59"/>
    <cellStyle name="_Sept. 19, Tables and Database for NP98.xls Chart 8" xfId="60"/>
    <cellStyle name="_Tab Fig Array_ SEI 2010 Ch 4_fed RD" xfId="61"/>
    <cellStyle name="_Tab Fig Array_SEI2010 Ch 4_Intl comps" xfId="62"/>
    <cellStyle name="_tabc102" xfId="63"/>
    <cellStyle name="_tabc14" xfId="64"/>
    <cellStyle name="_table1" xfId="65"/>
    <cellStyle name="_table2" xfId="66"/>
    <cellStyle name="_table3" xfId="67"/>
    <cellStyle name="_table5" xfId="68"/>
    <cellStyle name="_Text Table 3" xfId="69"/>
    <cellStyle name="_UNESCO_R&amp;DTables" xfId="70"/>
    <cellStyle name="_workbook for indicators text tables" xfId="71"/>
    <cellStyle name="20% - Accent1" xfId="72"/>
    <cellStyle name="20% - Accent2" xfId="73"/>
    <cellStyle name="20% - Accent3" xfId="74"/>
    <cellStyle name="20% - Accent4" xfId="75"/>
    <cellStyle name="20% - Accent5" xfId="76"/>
    <cellStyle name="20% - Accent6" xfId="77"/>
    <cellStyle name="40% - Accent1" xfId="78"/>
    <cellStyle name="40% - Accent2" xfId="79"/>
    <cellStyle name="40% - Accent3" xfId="80"/>
    <cellStyle name="40% - Accent4" xfId="81"/>
    <cellStyle name="40% - Accent5" xfId="82"/>
    <cellStyle name="40% - Accent6" xfId="83"/>
    <cellStyle name="60% - Accent1" xfId="84"/>
    <cellStyle name="60% - Accent2" xfId="85"/>
    <cellStyle name="60% - Accent3" xfId="86"/>
    <cellStyle name="60% - Accent4" xfId="87"/>
    <cellStyle name="60% - Accent5" xfId="88"/>
    <cellStyle name="60% - Accent6" xfId="89"/>
    <cellStyle name="Accent1" xfId="90"/>
    <cellStyle name="Accent2" xfId="91"/>
    <cellStyle name="Accent3" xfId="92"/>
    <cellStyle name="Accent4" xfId="93"/>
    <cellStyle name="Accent5" xfId="94"/>
    <cellStyle name="Accent6" xfId="95"/>
    <cellStyle name="annee semestre" xfId="96"/>
    <cellStyle name="Bad" xfId="97"/>
    <cellStyle name="Calculation" xfId="98"/>
    <cellStyle name="Check Cell" xfId="99"/>
    <cellStyle name="Comma" xfId="100"/>
    <cellStyle name="Comma [0]" xfId="101"/>
    <cellStyle name="Comma 2" xfId="102"/>
    <cellStyle name="Comma 3" xfId="103"/>
    <cellStyle name="Comma 4" xfId="104"/>
    <cellStyle name="Comma0" xfId="105"/>
    <cellStyle name="Currency" xfId="106"/>
    <cellStyle name="Currency [0]" xfId="107"/>
    <cellStyle name="Currency 2" xfId="108"/>
    <cellStyle name="Currency0" xfId="109"/>
    <cellStyle name="données" xfId="110"/>
    <cellStyle name="donnéesbord" xfId="111"/>
    <cellStyle name="Explanatory Text" xfId="112"/>
    <cellStyle name="Good" xfId="113"/>
    <cellStyle name="Heading 1" xfId="114"/>
    <cellStyle name="Heading 2" xfId="115"/>
    <cellStyle name="Heading 3" xfId="116"/>
    <cellStyle name="Heading 4" xfId="117"/>
    <cellStyle name="Hyperlink 2" xfId="118"/>
    <cellStyle name="Hyperlink 3" xfId="119"/>
    <cellStyle name="Hyperlink 4" xfId="120"/>
    <cellStyle name="Hyperlink 5" xfId="121"/>
    <cellStyle name="Hyperlink 6" xfId="122"/>
    <cellStyle name="Input" xfId="123"/>
    <cellStyle name="Linked Cell" xfId="124"/>
    <cellStyle name="Neutral" xfId="125"/>
    <cellStyle name="Normal 10" xfId="126"/>
    <cellStyle name="Normal 11" xfId="127"/>
    <cellStyle name="Normal 11 2" xfId="128"/>
    <cellStyle name="Normal 12" xfId="129"/>
    <cellStyle name="Normal 13" xfId="130"/>
    <cellStyle name="Normal 14" xfId="131"/>
    <cellStyle name="Normal 15" xfId="132"/>
    <cellStyle name="Normal 16" xfId="133"/>
    <cellStyle name="Normal 17" xfId="134"/>
    <cellStyle name="Normal 18" xfId="135"/>
    <cellStyle name="Normal 19" xfId="136"/>
    <cellStyle name="Normal 2" xfId="137"/>
    <cellStyle name="Normal 2 2" xfId="138"/>
    <cellStyle name="Normal 2 3" xfId="139"/>
    <cellStyle name="Normal 3" xfId="140"/>
    <cellStyle name="Normal 3 2" xfId="141"/>
    <cellStyle name="Normal 4" xfId="142"/>
    <cellStyle name="Normal 5" xfId="143"/>
    <cellStyle name="Normal 6" xfId="144"/>
    <cellStyle name="Normal 7" xfId="145"/>
    <cellStyle name="Normal 8" xfId="146"/>
    <cellStyle name="Normal 9" xfId="147"/>
    <cellStyle name="Note" xfId="148"/>
    <cellStyle name="notes" xfId="149"/>
    <cellStyle name="Output" xfId="150"/>
    <cellStyle name="Percent" xfId="151"/>
    <cellStyle name="Percent 2" xfId="152"/>
    <cellStyle name="Percent 3" xfId="153"/>
    <cellStyle name="semestre" xfId="154"/>
    <cellStyle name="ss1" xfId="155"/>
    <cellStyle name="ss10" xfId="156"/>
    <cellStyle name="ss11" xfId="157"/>
    <cellStyle name="ss12" xfId="158"/>
    <cellStyle name="ss13" xfId="159"/>
    <cellStyle name="ss14" xfId="160"/>
    <cellStyle name="ss15" xfId="161"/>
    <cellStyle name="ss16" xfId="162"/>
    <cellStyle name="ss17" xfId="163"/>
    <cellStyle name="ss18" xfId="164"/>
    <cellStyle name="ss19" xfId="165"/>
    <cellStyle name="ss2" xfId="166"/>
    <cellStyle name="ss20" xfId="167"/>
    <cellStyle name="ss21" xfId="168"/>
    <cellStyle name="ss22" xfId="169"/>
    <cellStyle name="ss23" xfId="170"/>
    <cellStyle name="ss24" xfId="171"/>
    <cellStyle name="ss25" xfId="172"/>
    <cellStyle name="ss26" xfId="173"/>
    <cellStyle name="ss27" xfId="174"/>
    <cellStyle name="ss28" xfId="175"/>
    <cellStyle name="ss29" xfId="176"/>
    <cellStyle name="ss3" xfId="177"/>
    <cellStyle name="ss30" xfId="178"/>
    <cellStyle name="ss31" xfId="179"/>
    <cellStyle name="ss4" xfId="180"/>
    <cellStyle name="ss5" xfId="181"/>
    <cellStyle name="ss6" xfId="182"/>
    <cellStyle name="ss7" xfId="183"/>
    <cellStyle name="ss8" xfId="184"/>
    <cellStyle name="ss9" xfId="185"/>
    <cellStyle name="Style 1" xfId="186"/>
    <cellStyle name="Tagline" xfId="187"/>
    <cellStyle name="tête chapitre" xfId="188"/>
    <cellStyle name="Title" xfId="189"/>
    <cellStyle name="Title 1" xfId="190"/>
    <cellStyle name="Title 2" xfId="191"/>
    <cellStyle name="titre" xfId="192"/>
    <cellStyle name="Total" xfId="193"/>
    <cellStyle name="Total 2" xfId="194"/>
    <cellStyle name="Warning Text"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10.%20Labor%20and%20Employment\CNX1\AEIGuidePartTenCNXFinal10-31-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Table 10.1.1"/>
      <sheetName val="10.1"/>
      <sheetName val="10.1a"/>
      <sheetName val="10.1b (2013)"/>
      <sheetName val="NIPA 6.5 FTE (2012)"/>
      <sheetName val="NIPA 6.5 FTE (2010)"/>
      <sheetName val="Table 10.1.2"/>
      <sheetName val="Table 619"/>
      <sheetName val="BLS Employment and Earnings"/>
      <sheetName val="Data for 10.2"/>
      <sheetName val="Notes"/>
      <sheetName val="Civilian Labor Force"/>
      <sheetName val="BLS SIC Data Series"/>
      <sheetName val="BLS Detailed Industry Trends"/>
      <sheetName val="Obamacare Impact on PT  Emp"/>
      <sheetName val="Ratio FT-PT to FTE"/>
      <sheetName val="BEA 6.4 FT-PT Employees"/>
      <sheetName val="BLS Employment Trends"/>
      <sheetName val="60600A Ann"/>
      <sheetName val="60600B Ann (2)"/>
      <sheetName val="60600B Ann"/>
      <sheetName val="60600C Ann"/>
      <sheetName val="60600D Ann"/>
      <sheetName val="2008-18 Matrix"/>
      <sheetName val="Obamacare PT Workers"/>
      <sheetName val="BLS Nonfarm"/>
      <sheetName val="BLS Temp"/>
      <sheetName val="BLS FT 2003-2013"/>
      <sheetName val="BLS PT 2003-2013"/>
      <sheetName val="Table 10.1.2old"/>
      <sheetName val="11s0619"/>
      <sheetName val="CPS Employment Trends"/>
      <sheetName val="10.3b"/>
      <sheetName val="Data3.1.1"/>
      <sheetName val="Data3.1.2"/>
      <sheetName val="NIPATable 6.4C Employment"/>
      <sheetName val="NIPATable 6.4D Employment"/>
      <sheetName val="BLS Occupation Characteristics"/>
      <sheetName val="Table 10.3.1"/>
      <sheetName val="OECD Demographics"/>
      <sheetName val="OECD Emp"/>
      <sheetName val="OECD Physicians"/>
      <sheetName val="OECD Health Pro Salary"/>
      <sheetName val="Table 10.3.1.1"/>
      <sheetName val="Table 10.3.2"/>
      <sheetName val="GDP"/>
      <sheetName val="OECD # Health Employees"/>
      <sheetName val="Table 10.4.1"/>
      <sheetName val="Table 10.4.2"/>
      <sheetName val="Female Doctors"/>
      <sheetName val="Table 10.5.1"/>
      <sheetName val="Table 10.5.1.1"/>
      <sheetName val="Table 10.5.1.2"/>
      <sheetName val="Employment Hour Trends"/>
      <sheetName val="Table 10.5.2"/>
      <sheetName val="10.8b"/>
      <sheetName val="10.6"/>
      <sheetName val="DataFerrett 10.6"/>
      <sheetName val="10.7a"/>
      <sheetName val="DFerrett for 10.7"/>
      <sheetName val="MDTrends"/>
      <sheetName val="Table 10.6"/>
      <sheetName val="LE 1900-2004"/>
      <sheetName val="LE 1900-2006"/>
      <sheetName val="WLE data"/>
      <sheetName val="10.10a"/>
      <sheetName val="SSA Report 2010"/>
      <sheetName val="10.10b"/>
      <sheetName val="SSA Report 2010 OASDI HI"/>
      <sheetName val="OASDI-HI % of GDP"/>
      <sheetName val="OASDI-HI Trends"/>
      <sheetName val="Data for 10.10b"/>
      <sheetName val="CBO Summary Extended-Baseline"/>
      <sheetName val="CBO Medicare Fig 2-2"/>
      <sheetName val="CBO Alternative"/>
      <sheetName val="CBO Health Detail"/>
      <sheetName val="CBO Excess Growth"/>
      <sheetName val="10.11a"/>
      <sheetName val="10.11b"/>
      <sheetName val="InternationaHourly Compensation"/>
      <sheetName val="Remun all MDs"/>
      <sheetName val="Wages for 10.4b"/>
      <sheetName val="Data3.5.1"/>
      <sheetName val="OECD Conversion Rates"/>
      <sheetName val="Employment Status"/>
      <sheetName val="Data"/>
      <sheetName val="Data 10.8a"/>
      <sheetName val="OECD Pop&amp;Emp"/>
      <sheetName val="MDs by Specialty 1975-2010"/>
    </sheetNames>
    <sheetDataSet>
      <sheetData sheetId="34">
        <row r="17">
          <cell r="B17">
            <v>6.213698850956865</v>
          </cell>
          <cell r="C17">
            <v>7.16321243523316</v>
          </cell>
        </row>
        <row r="20">
          <cell r="B20">
            <v>7.948068397720077</v>
          </cell>
          <cell r="C20">
            <v>9.365700861393892</v>
          </cell>
        </row>
        <row r="22">
          <cell r="B22">
            <v>9.327746401894698</v>
          </cell>
          <cell r="C22">
            <v>9.831892022953205</v>
          </cell>
        </row>
        <row r="26">
          <cell r="B26">
            <v>10.444213788227506</v>
          </cell>
          <cell r="C26">
            <v>11.114225320860923</v>
          </cell>
        </row>
        <row r="28">
          <cell r="B28">
            <v>9.453680508110024</v>
          </cell>
          <cell r="C28">
            <v>11.60308054242404</v>
          </cell>
        </row>
        <row r="30">
          <cell r="B30">
            <v>10.734042135823296</v>
          </cell>
          <cell r="C30">
            <v>12.41691801667781</v>
          </cell>
        </row>
        <row r="31">
          <cell r="B31">
            <v>11.931521170935703</v>
          </cell>
          <cell r="C31">
            <v>12.543168090697707</v>
          </cell>
        </row>
        <row r="35">
          <cell r="B35">
            <v>13.618788486323929</v>
          </cell>
          <cell r="C35">
            <v>15.935619770270112</v>
          </cell>
        </row>
        <row r="37">
          <cell r="B37">
            <v>17.680608365019012</v>
          </cell>
          <cell r="C37">
            <v>20.03192338387869</v>
          </cell>
        </row>
      </sheetData>
      <sheetData sheetId="36">
        <row r="73">
          <cell r="K73">
            <v>9369</v>
          </cell>
          <cell r="L73">
            <v>9580</v>
          </cell>
        </row>
        <row r="77">
          <cell r="K77">
            <v>2353</v>
          </cell>
          <cell r="L77">
            <v>2424</v>
          </cell>
        </row>
      </sheetData>
      <sheetData sheetId="37">
        <row r="79">
          <cell r="H79">
            <v>14050</v>
          </cell>
          <cell r="K79">
            <v>15080</v>
          </cell>
          <cell r="M79">
            <v>15935</v>
          </cell>
        </row>
      </sheetData>
      <sheetData sheetId="41">
        <row r="4">
          <cell r="AV4">
            <v>5150</v>
          </cell>
          <cell r="AX4">
            <v>5470</v>
          </cell>
        </row>
        <row r="5">
          <cell r="AK5">
            <v>2447</v>
          </cell>
          <cell r="AL5">
            <v>2497</v>
          </cell>
          <cell r="AS5">
            <v>2859</v>
          </cell>
          <cell r="AV5">
            <v>3236.139</v>
          </cell>
          <cell r="AX5">
            <v>3213.993</v>
          </cell>
        </row>
        <row r="6">
          <cell r="AK6">
            <v>2048</v>
          </cell>
          <cell r="AL6">
            <v>2069</v>
          </cell>
          <cell r="AS6">
            <v>2304</v>
          </cell>
          <cell r="AV6">
            <v>2433</v>
          </cell>
        </row>
        <row r="7">
          <cell r="AK7">
            <v>1049.3</v>
          </cell>
          <cell r="AL7">
            <v>1066</v>
          </cell>
          <cell r="AS7">
            <v>1151</v>
          </cell>
          <cell r="AV7">
            <v>1335</v>
          </cell>
          <cell r="AX7">
            <v>1417</v>
          </cell>
        </row>
        <row r="8">
          <cell r="AK8">
            <v>1210.1</v>
          </cell>
          <cell r="AL8">
            <v>1234.7</v>
          </cell>
          <cell r="AS8">
            <v>1452.6</v>
          </cell>
          <cell r="AV8">
            <v>1567.5</v>
          </cell>
          <cell r="AX8">
            <v>1666.6</v>
          </cell>
        </row>
        <row r="9">
          <cell r="AL9">
            <v>361</v>
          </cell>
          <cell r="AS9">
            <v>426</v>
          </cell>
          <cell r="AV9">
            <v>451</v>
          </cell>
          <cell r="AX9">
            <v>482</v>
          </cell>
        </row>
        <row r="10">
          <cell r="AK10">
            <v>373.6</v>
          </cell>
          <cell r="AL10">
            <v>388.6</v>
          </cell>
          <cell r="AS10">
            <v>462.5</v>
          </cell>
          <cell r="AV10">
            <v>496.6</v>
          </cell>
          <cell r="AX10">
            <v>522.8</v>
          </cell>
        </row>
        <row r="11">
          <cell r="AL11">
            <v>887</v>
          </cell>
          <cell r="AS11">
            <v>1046.9</v>
          </cell>
          <cell r="AV11">
            <v>1156.8</v>
          </cell>
          <cell r="AX11">
            <v>1238.7</v>
          </cell>
        </row>
        <row r="15">
          <cell r="AK15">
            <v>124900</v>
          </cell>
          <cell r="AL15">
            <v>126708</v>
          </cell>
          <cell r="AS15">
            <v>137736</v>
          </cell>
          <cell r="AV15">
            <v>144427</v>
          </cell>
          <cell r="AX15">
            <v>145362</v>
          </cell>
        </row>
        <row r="16">
          <cell r="AK16">
            <v>64570</v>
          </cell>
          <cell r="AL16">
            <v>64860</v>
          </cell>
          <cell r="AS16">
            <v>63160</v>
          </cell>
          <cell r="AV16">
            <v>63820</v>
          </cell>
          <cell r="AX16">
            <v>63850</v>
          </cell>
        </row>
        <row r="17">
          <cell r="AK17">
            <v>25489</v>
          </cell>
          <cell r="AL17">
            <v>25727</v>
          </cell>
          <cell r="AS17">
            <v>27693</v>
          </cell>
          <cell r="AV17">
            <v>28786.7</v>
          </cell>
          <cell r="AX17">
            <v>29308.4</v>
          </cell>
        </row>
        <row r="18">
          <cell r="AK18">
            <v>22547</v>
          </cell>
          <cell r="AL18">
            <v>22640</v>
          </cell>
          <cell r="AS18">
            <v>24990</v>
          </cell>
          <cell r="AV18">
            <v>25446</v>
          </cell>
          <cell r="AX18">
            <v>25951</v>
          </cell>
        </row>
        <row r="19">
          <cell r="AK19">
            <v>19851.3</v>
          </cell>
          <cell r="AL19">
            <v>19950.7</v>
          </cell>
          <cell r="AS19">
            <v>21822</v>
          </cell>
          <cell r="AV19">
            <v>22738</v>
          </cell>
          <cell r="AX19">
            <v>23160</v>
          </cell>
        </row>
        <row r="20">
          <cell r="AK20">
            <v>13295.4</v>
          </cell>
          <cell r="AL20">
            <v>13421.4</v>
          </cell>
          <cell r="AS20">
            <v>15672.3</v>
          </cell>
          <cell r="AV20">
            <v>16484.3</v>
          </cell>
          <cell r="AX20">
            <v>17125.8</v>
          </cell>
        </row>
        <row r="21">
          <cell r="AK21">
            <v>2047</v>
          </cell>
          <cell r="AL21">
            <v>2104</v>
          </cell>
          <cell r="AS21">
            <v>2250</v>
          </cell>
          <cell r="AV21">
            <v>2345</v>
          </cell>
          <cell r="AX21">
            <v>2506</v>
          </cell>
        </row>
        <row r="22">
          <cell r="AK22">
            <v>3952.2</v>
          </cell>
          <cell r="AL22">
            <v>3949.8</v>
          </cell>
          <cell r="AS22">
            <v>4155.6</v>
          </cell>
          <cell r="AV22">
            <v>4303.5</v>
          </cell>
          <cell r="AX22">
            <v>4495.5</v>
          </cell>
        </row>
        <row r="23">
          <cell r="AK23">
            <v>6838</v>
          </cell>
          <cell r="AL23">
            <v>6983</v>
          </cell>
          <cell r="AS23">
            <v>8125.3</v>
          </cell>
          <cell r="AV23">
            <v>8260.9</v>
          </cell>
          <cell r="AX23">
            <v>8592.7</v>
          </cell>
        </row>
      </sheetData>
      <sheetData sheetId="42">
        <row r="5">
          <cell r="D5">
            <v>2.15</v>
          </cell>
          <cell r="E5">
            <v>3.39</v>
          </cell>
          <cell r="F5">
            <v>3.69</v>
          </cell>
          <cell r="G5">
            <v>2.09</v>
          </cell>
          <cell r="H5">
            <v>3.82</v>
          </cell>
          <cell r="I5">
            <v>3.75</v>
          </cell>
          <cell r="J5">
            <v>3.85</v>
          </cell>
          <cell r="K5">
            <v>2.44</v>
          </cell>
          <cell r="L5">
            <v>2.42</v>
          </cell>
        </row>
      </sheetData>
      <sheetData sheetId="46">
        <row r="9">
          <cell r="F9">
            <v>13336200</v>
          </cell>
          <cell r="G9">
            <v>13336200</v>
          </cell>
        </row>
        <row r="10">
          <cell r="F10">
            <v>507364800</v>
          </cell>
          <cell r="G10">
            <v>4080363</v>
          </cell>
        </row>
        <row r="11">
          <cell r="F11">
            <v>1325795</v>
          </cell>
          <cell r="G11">
            <v>2065087</v>
          </cell>
        </row>
        <row r="12">
          <cell r="F12">
            <v>1806430</v>
          </cell>
          <cell r="G12">
            <v>1953371</v>
          </cell>
        </row>
        <row r="13">
          <cell r="F13">
            <v>1485377</v>
          </cell>
          <cell r="G13">
            <v>1739784</v>
          </cell>
        </row>
        <row r="14">
          <cell r="F14">
            <v>1449215</v>
          </cell>
          <cell r="G14">
            <v>1202176</v>
          </cell>
        </row>
        <row r="15">
          <cell r="F15">
            <v>2159573</v>
          </cell>
          <cell r="G15">
            <v>242564</v>
          </cell>
        </row>
        <row r="16">
          <cell r="F16">
            <v>490544</v>
          </cell>
          <cell r="G16">
            <v>288710</v>
          </cell>
        </row>
        <row r="17">
          <cell r="F17">
            <v>540216</v>
          </cell>
          <cell r="G17">
            <v>607447</v>
          </cell>
        </row>
      </sheetData>
      <sheetData sheetId="47">
        <row r="11">
          <cell r="O11">
            <v>203075</v>
          </cell>
          <cell r="Q11">
            <v>116031</v>
          </cell>
        </row>
        <row r="13">
          <cell r="O13">
            <v>32747</v>
          </cell>
          <cell r="Q13">
            <v>40508</v>
          </cell>
        </row>
        <row r="14">
          <cell r="O14">
            <v>51698</v>
          </cell>
          <cell r="Q14">
            <v>21308</v>
          </cell>
        </row>
        <row r="16">
          <cell r="O16">
            <v>15540</v>
          </cell>
          <cell r="Q16">
            <v>10788</v>
          </cell>
        </row>
        <row r="17">
          <cell r="O17">
            <v>2644</v>
          </cell>
          <cell r="Q17">
            <v>2117</v>
          </cell>
        </row>
        <row r="19">
          <cell r="O19">
            <v>7524</v>
          </cell>
          <cell r="Q19">
            <v>4741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1"/>
  <sheetViews>
    <sheetView tabSelected="1" view="pageBreakPreview" zoomScaleNormal="90" zoomScaleSheetLayoutView="100" zoomScalePageLayoutView="0" workbookViewId="0" topLeftCell="A61">
      <pane xSplit="1" topLeftCell="B1" activePane="topRight" state="frozen"/>
      <selection pane="topLeft" activeCell="A82" sqref="A82:IV82"/>
      <selection pane="topRight" activeCell="A82" sqref="A82:IV82"/>
    </sheetView>
  </sheetViews>
  <sheetFormatPr defaultColWidth="9.140625" defaultRowHeight="15"/>
  <cols>
    <col min="1" max="1" width="6.7109375" style="2" customWidth="1"/>
    <col min="2" max="2" width="9.57421875" style="2" customWidth="1"/>
    <col min="3" max="3" width="22.00390625" style="2" customWidth="1"/>
    <col min="4" max="4" width="11.00390625" style="2" customWidth="1"/>
    <col min="5" max="5" width="10.7109375" style="2" customWidth="1"/>
    <col min="6" max="12" width="11.00390625" style="2" customWidth="1"/>
    <col min="13" max="15" width="9.57421875" style="2" customWidth="1"/>
    <col min="16" max="16384" width="9.140625" style="2" customWidth="1"/>
  </cols>
  <sheetData>
    <row r="1" spans="1:15" ht="18" customHeight="1" thickBot="1">
      <c r="A1" s="1" t="s">
        <v>0</v>
      </c>
      <c r="B1" s="1"/>
      <c r="C1" s="1"/>
      <c r="D1" s="1"/>
      <c r="E1" s="1"/>
      <c r="F1" s="1"/>
      <c r="G1" s="1"/>
      <c r="H1" s="1"/>
      <c r="I1" s="1"/>
      <c r="J1" s="1"/>
      <c r="K1" s="1"/>
      <c r="L1" s="1"/>
      <c r="M1" s="1"/>
      <c r="N1" s="1"/>
      <c r="O1" s="1"/>
    </row>
    <row r="2" spans="1:15" s="11" customFormat="1" ht="36" customHeight="1" thickTop="1">
      <c r="A2" s="3" t="s">
        <v>1</v>
      </c>
      <c r="B2" s="4"/>
      <c r="C2" s="5" t="s">
        <v>2</v>
      </c>
      <c r="D2" s="5" t="s">
        <v>3</v>
      </c>
      <c r="E2" s="5" t="s">
        <v>4</v>
      </c>
      <c r="F2" s="6" t="s">
        <v>5</v>
      </c>
      <c r="G2" s="7" t="s">
        <v>6</v>
      </c>
      <c r="H2" s="7" t="s">
        <v>7</v>
      </c>
      <c r="I2" s="8" t="s">
        <v>8</v>
      </c>
      <c r="J2" s="9"/>
      <c r="K2" s="7" t="s">
        <v>9</v>
      </c>
      <c r="L2" s="7" t="s">
        <v>10</v>
      </c>
      <c r="M2" s="8" t="s">
        <v>11</v>
      </c>
      <c r="N2" s="10"/>
      <c r="O2" s="9"/>
    </row>
    <row r="3" spans="1:15" s="11" customFormat="1" ht="60" customHeight="1">
      <c r="A3" s="12"/>
      <c r="B3" s="13"/>
      <c r="C3" s="14"/>
      <c r="D3" s="14"/>
      <c r="E3" s="14"/>
      <c r="F3" s="15"/>
      <c r="G3" s="16"/>
      <c r="H3" s="16"/>
      <c r="I3" s="17" t="s">
        <v>12</v>
      </c>
      <c r="J3" s="17" t="s">
        <v>13</v>
      </c>
      <c r="K3" s="16"/>
      <c r="L3" s="16"/>
      <c r="M3" s="18" t="s">
        <v>14</v>
      </c>
      <c r="N3" s="18" t="s">
        <v>15</v>
      </c>
      <c r="O3" s="18" t="s">
        <v>16</v>
      </c>
    </row>
    <row r="4" spans="1:15" ht="12.75" customHeight="1">
      <c r="A4" s="19" t="s">
        <v>17</v>
      </c>
      <c r="B4" s="19"/>
      <c r="C4" s="20">
        <v>298363</v>
      </c>
      <c r="D4" s="20">
        <v>200445.8</v>
      </c>
      <c r="E4" s="20">
        <v>151428</v>
      </c>
      <c r="F4" s="21">
        <v>144427</v>
      </c>
      <c r="G4" s="22">
        <f>'Table 10.3.1.1'!F7</f>
        <v>17254.69971760276</v>
      </c>
      <c r="H4" s="23">
        <f aca="true" t="shared" si="0" ref="H4:H13">(K4+I4)/F4</f>
        <v>0.11947004173459784</v>
      </c>
      <c r="I4" s="24">
        <f>G28</f>
        <v>722.03846</v>
      </c>
      <c r="J4" s="24">
        <f aca="true" t="shared" si="1" ref="J4:J12">I4*(J28*M$57+I28*L$57+(1-I28-J28)*$N$57)</f>
        <v>1772.78386974165</v>
      </c>
      <c r="K4" s="24">
        <f>G4-I4</f>
        <v>16532.661257602762</v>
      </c>
      <c r="L4" s="24">
        <f aca="true" t="shared" si="2" ref="L4:L12">K4+J4</f>
        <v>18305.445127344414</v>
      </c>
      <c r="M4" s="25">
        <f>$L4/D4</f>
        <v>0.0913236651870202</v>
      </c>
      <c r="N4" s="25">
        <f>$L4/E4</f>
        <v>0.12088547116348637</v>
      </c>
      <c r="O4" s="25">
        <f aca="true" t="shared" si="3" ref="O4:O13">L4/F4</f>
        <v>0.126745311661562</v>
      </c>
    </row>
    <row r="5" spans="1:15" ht="12.75" customHeight="1">
      <c r="A5" s="26" t="s">
        <v>18</v>
      </c>
      <c r="B5" s="26"/>
      <c r="C5" s="20">
        <v>127770</v>
      </c>
      <c r="D5" s="20">
        <v>83731</v>
      </c>
      <c r="E5" s="20">
        <v>66570</v>
      </c>
      <c r="F5" s="21">
        <v>63820</v>
      </c>
      <c r="G5" s="27">
        <f>'Table 10.3.1.1'!F8</f>
        <v>5150</v>
      </c>
      <c r="H5" s="23">
        <f t="shared" si="0"/>
        <v>0.0806957066750235</v>
      </c>
      <c r="I5" s="28">
        <f aca="true" t="shared" si="4" ref="I5:I12">G29</f>
        <v>267.03929999999997</v>
      </c>
      <c r="J5" s="28">
        <f t="shared" si="1"/>
        <v>633.2862650259733</v>
      </c>
      <c r="K5" s="28">
        <f>G5-I5</f>
        <v>4882.9607</v>
      </c>
      <c r="L5" s="28">
        <f t="shared" si="2"/>
        <v>5516.246965025973</v>
      </c>
      <c r="M5" s="29">
        <f aca="true" t="shared" si="5" ref="M5:M12">L5/D5</f>
        <v>0.06588058144565302</v>
      </c>
      <c r="N5" s="29">
        <f aca="true" t="shared" si="6" ref="N5:N13">$L5/E5</f>
        <v>0.0828638570681384</v>
      </c>
      <c r="O5" s="29">
        <f t="shared" si="3"/>
        <v>0.08643445573528631</v>
      </c>
    </row>
    <row r="6" spans="1:15" ht="12.75" customHeight="1">
      <c r="A6" s="26" t="s">
        <v>19</v>
      </c>
      <c r="B6" s="26"/>
      <c r="C6" s="20">
        <v>59743.65</v>
      </c>
      <c r="D6" s="20">
        <v>39768.79</v>
      </c>
      <c r="E6" s="20">
        <v>30435.43</v>
      </c>
      <c r="F6" s="21">
        <v>28786.7</v>
      </c>
      <c r="G6" s="27">
        <f>'Table 10.3.1.1'!F9</f>
        <v>3236.139</v>
      </c>
      <c r="H6" s="23">
        <f t="shared" si="0"/>
        <v>0.11241785268891537</v>
      </c>
      <c r="I6" s="28">
        <f t="shared" si="4"/>
        <v>145.774506</v>
      </c>
      <c r="J6" s="28">
        <f t="shared" si="1"/>
        <v>350.0298004838566</v>
      </c>
      <c r="K6" s="28">
        <f aca="true" t="shared" si="7" ref="K6:K12">G6-I6</f>
        <v>3090.364494</v>
      </c>
      <c r="L6" s="28">
        <f t="shared" si="2"/>
        <v>3440.3942944838564</v>
      </c>
      <c r="M6" s="29">
        <f t="shared" si="5"/>
        <v>0.08650990624768459</v>
      </c>
      <c r="N6" s="29">
        <f t="shared" si="6"/>
        <v>0.11303912231513917</v>
      </c>
      <c r="O6" s="29">
        <f t="shared" si="3"/>
        <v>0.11951332714357173</v>
      </c>
    </row>
    <row r="7" spans="1:15" ht="12.75" customHeight="1">
      <c r="A7" s="26" t="s">
        <v>20</v>
      </c>
      <c r="B7" s="26"/>
      <c r="C7" s="20">
        <v>61597</v>
      </c>
      <c r="D7" s="20">
        <v>40122</v>
      </c>
      <c r="E7" s="20">
        <v>28008</v>
      </c>
      <c r="F7" s="21">
        <v>25446</v>
      </c>
      <c r="G7" s="27">
        <f>'Table 10.3.1.1'!F10</f>
        <v>2433</v>
      </c>
      <c r="H7" s="23">
        <f t="shared" si="0"/>
        <v>0.09561424192407451</v>
      </c>
      <c r="I7" s="28">
        <f t="shared" si="4"/>
        <v>208.81383000000002</v>
      </c>
      <c r="J7" s="28">
        <f t="shared" si="1"/>
        <v>465.361857620753</v>
      </c>
      <c r="K7" s="28">
        <f t="shared" si="7"/>
        <v>2224.18617</v>
      </c>
      <c r="L7" s="28">
        <f t="shared" si="2"/>
        <v>2689.548027620753</v>
      </c>
      <c r="M7" s="29">
        <f t="shared" si="5"/>
        <v>0.0670342462394884</v>
      </c>
      <c r="N7" s="29">
        <f t="shared" si="6"/>
        <v>0.09602785017212058</v>
      </c>
      <c r="O7" s="29">
        <f t="shared" si="3"/>
        <v>0.10569629912837983</v>
      </c>
    </row>
    <row r="8" spans="1:15" ht="12.75" customHeight="1">
      <c r="A8" s="26" t="s">
        <v>21</v>
      </c>
      <c r="B8" s="26"/>
      <c r="C8" s="20">
        <v>58435</v>
      </c>
      <c r="D8" s="20">
        <v>38726</v>
      </c>
      <c r="E8" s="20">
        <v>24411</v>
      </c>
      <c r="F8" s="21">
        <v>22738</v>
      </c>
      <c r="G8" s="27">
        <f>'Table 10.3.1.1'!F11</f>
        <v>1335</v>
      </c>
      <c r="H8" s="23">
        <f t="shared" si="0"/>
        <v>0.05871228780015832</v>
      </c>
      <c r="I8" s="28">
        <f t="shared" si="4"/>
        <v>215.62515</v>
      </c>
      <c r="J8" s="28">
        <f t="shared" si="1"/>
        <v>508.2479599659739</v>
      </c>
      <c r="K8" s="28">
        <f t="shared" si="7"/>
        <v>1119.37485</v>
      </c>
      <c r="L8" s="28">
        <f t="shared" si="2"/>
        <v>1627.6228099659738</v>
      </c>
      <c r="M8" s="29">
        <f t="shared" si="5"/>
        <v>0.04202920027800377</v>
      </c>
      <c r="N8" s="29">
        <f t="shared" si="6"/>
        <v>0.06667579410781917</v>
      </c>
      <c r="O8" s="29">
        <f t="shared" si="3"/>
        <v>0.07158161711522447</v>
      </c>
    </row>
    <row r="9" spans="1:15" ht="12.75" customHeight="1">
      <c r="A9" s="26" t="s">
        <v>22</v>
      </c>
      <c r="B9" s="26"/>
      <c r="C9" s="20">
        <v>32576</v>
      </c>
      <c r="D9" s="20">
        <v>22599</v>
      </c>
      <c r="E9" s="20">
        <v>17592.8</v>
      </c>
      <c r="F9" s="21">
        <v>16484.3</v>
      </c>
      <c r="G9" s="27">
        <f>'Table 10.3.1.1'!F12</f>
        <v>1567.5</v>
      </c>
      <c r="H9" s="23">
        <f t="shared" si="0"/>
        <v>0.09509048003251579</v>
      </c>
      <c r="I9" s="28">
        <f t="shared" si="4"/>
        <v>70.0384</v>
      </c>
      <c r="J9" s="28">
        <f t="shared" si="1"/>
        <v>157.32502905001655</v>
      </c>
      <c r="K9" s="28">
        <f t="shared" si="7"/>
        <v>1497.4616</v>
      </c>
      <c r="L9" s="28">
        <f t="shared" si="2"/>
        <v>1654.7866290500167</v>
      </c>
      <c r="M9" s="29">
        <f t="shared" si="5"/>
        <v>0.07322388729811127</v>
      </c>
      <c r="N9" s="29">
        <f t="shared" si="6"/>
        <v>0.0940604468333646</v>
      </c>
      <c r="O9" s="29">
        <f t="shared" si="3"/>
        <v>0.10038561716603173</v>
      </c>
    </row>
    <row r="10" spans="1:15" ht="12.75" customHeight="1">
      <c r="A10" s="26" t="s">
        <v>23</v>
      </c>
      <c r="B10" s="26"/>
      <c r="C10" s="20">
        <v>4661</v>
      </c>
      <c r="D10" s="20">
        <v>3070</v>
      </c>
      <c r="E10" s="20">
        <v>2429</v>
      </c>
      <c r="F10" s="21">
        <v>2345</v>
      </c>
      <c r="G10" s="27">
        <f>'Table 10.3.1.1'!F13</f>
        <v>451</v>
      </c>
      <c r="H10" s="23">
        <f t="shared" si="0"/>
        <v>0.19232409381663113</v>
      </c>
      <c r="I10" s="28">
        <f t="shared" si="4"/>
        <v>17.47875</v>
      </c>
      <c r="J10" s="28">
        <f t="shared" si="1"/>
        <v>41.475715650470214</v>
      </c>
      <c r="K10" s="28">
        <f t="shared" si="7"/>
        <v>433.52125</v>
      </c>
      <c r="L10" s="28">
        <f t="shared" si="2"/>
        <v>474.9969656504702</v>
      </c>
      <c r="M10" s="29">
        <f t="shared" si="5"/>
        <v>0.15472213864836162</v>
      </c>
      <c r="N10" s="29">
        <f t="shared" si="6"/>
        <v>0.1955524765955003</v>
      </c>
      <c r="O10" s="29">
        <f t="shared" si="3"/>
        <v>0.20255734142877194</v>
      </c>
    </row>
    <row r="11" spans="1:15" ht="12.75" customHeight="1">
      <c r="A11" s="26" t="s">
        <v>24</v>
      </c>
      <c r="B11" s="26"/>
      <c r="C11" s="20">
        <v>7483.935</v>
      </c>
      <c r="D11" s="20">
        <v>5092.245</v>
      </c>
      <c r="E11" s="20">
        <v>4476.749</v>
      </c>
      <c r="F11" s="21">
        <v>4303.5</v>
      </c>
      <c r="G11" s="27">
        <f>'Table 10.3.1.1'!F14</f>
        <v>496.6</v>
      </c>
      <c r="H11" s="23">
        <f t="shared" si="0"/>
        <v>0.1153944463808528</v>
      </c>
      <c r="I11" s="28">
        <f t="shared" si="4"/>
        <v>28.81314975</v>
      </c>
      <c r="J11" s="28">
        <f t="shared" si="1"/>
        <v>73.63528756183005</v>
      </c>
      <c r="K11" s="28">
        <f t="shared" si="7"/>
        <v>467.78685025000004</v>
      </c>
      <c r="L11" s="28">
        <f t="shared" si="2"/>
        <v>541.4221378118301</v>
      </c>
      <c r="M11" s="29">
        <f t="shared" si="5"/>
        <v>0.10632287680813278</v>
      </c>
      <c r="N11" s="29">
        <f t="shared" si="6"/>
        <v>0.1209409189150051</v>
      </c>
      <c r="O11" s="29">
        <f t="shared" si="3"/>
        <v>0.12580972181057978</v>
      </c>
    </row>
    <row r="12" spans="1:15" ht="12.75" customHeight="1">
      <c r="A12" s="26" t="s">
        <v>25</v>
      </c>
      <c r="B12" s="26"/>
      <c r="C12" s="20">
        <v>16346.1</v>
      </c>
      <c r="D12" s="20">
        <v>11025.1</v>
      </c>
      <c r="E12" s="20">
        <v>8596.6</v>
      </c>
      <c r="F12" s="21">
        <v>8260.9</v>
      </c>
      <c r="G12" s="27">
        <f>'Table 10.3.1.1'!F15</f>
        <v>1156.8</v>
      </c>
      <c r="H12" s="23">
        <f t="shared" si="0"/>
        <v>0.14003316829885365</v>
      </c>
      <c r="I12" s="28">
        <f t="shared" si="4"/>
        <v>62.442102</v>
      </c>
      <c r="J12" s="28">
        <f t="shared" si="1"/>
        <v>145.10417822696803</v>
      </c>
      <c r="K12" s="28">
        <f t="shared" si="7"/>
        <v>1094.357898</v>
      </c>
      <c r="L12" s="28">
        <f t="shared" si="2"/>
        <v>1239.462076226968</v>
      </c>
      <c r="M12" s="29">
        <f t="shared" si="5"/>
        <v>0.1124218443575993</v>
      </c>
      <c r="N12" s="29">
        <f t="shared" si="6"/>
        <v>0.14418049882825396</v>
      </c>
      <c r="O12" s="29">
        <f t="shared" si="3"/>
        <v>0.15003959329213137</v>
      </c>
    </row>
    <row r="13" spans="1:15" ht="12.75" customHeight="1">
      <c r="A13" s="30" t="s">
        <v>26</v>
      </c>
      <c r="B13" s="31"/>
      <c r="C13" s="32">
        <f>AVERAGE(C4:C12)</f>
        <v>74108.40944444445</v>
      </c>
      <c r="D13" s="32">
        <f>AVERAGE(D4:D12)</f>
        <v>49397.77055555555</v>
      </c>
      <c r="E13" s="32">
        <f>AVERAGE(E4:E12)</f>
        <v>37105.286555555555</v>
      </c>
      <c r="F13" s="33">
        <f>AVERAGE(F4:F12)</f>
        <v>35179.044444444444</v>
      </c>
      <c r="G13" s="32">
        <f>AVERAGE(G4:G12)</f>
        <v>3675.6376352891957</v>
      </c>
      <c r="H13" s="23">
        <f t="shared" si="0"/>
        <v>0.10448372584689863</v>
      </c>
      <c r="I13" s="32">
        <f>AVERAGE(I4:I12)</f>
        <v>193.11818308333332</v>
      </c>
      <c r="J13" s="32">
        <f>I13*(J37*M$57+(1-J37)*L$57+(1-(H37/I13))*$N$57)</f>
        <v>938.1026571095603</v>
      </c>
      <c r="K13" s="32">
        <f>AVERAGE(K4:K12)</f>
        <v>3482.5194522058623</v>
      </c>
      <c r="L13" s="32">
        <f>AVERAGE(L4:L12)</f>
        <v>3943.325003686695</v>
      </c>
      <c r="M13" s="29">
        <f>AVERAGE(M4:M12)</f>
        <v>0.088829816278895</v>
      </c>
      <c r="N13" s="29">
        <f t="shared" si="6"/>
        <v>0.10627394017783927</v>
      </c>
      <c r="O13" s="29">
        <f t="shared" si="3"/>
        <v>0.11209301065337589</v>
      </c>
    </row>
    <row r="14" spans="1:15" s="11" customFormat="1" ht="18" customHeight="1">
      <c r="A14" s="34" t="s">
        <v>27</v>
      </c>
      <c r="B14" s="35"/>
      <c r="C14" s="36" t="s">
        <v>28</v>
      </c>
      <c r="D14" s="37"/>
      <c r="E14" s="37"/>
      <c r="F14" s="38"/>
      <c r="G14" s="39" t="s">
        <v>29</v>
      </c>
      <c r="H14" s="39" t="s">
        <v>30</v>
      </c>
      <c r="I14" s="39" t="s">
        <v>31</v>
      </c>
      <c r="J14" s="39" t="s">
        <v>32</v>
      </c>
      <c r="K14" s="39" t="str">
        <f>H14</f>
        <v>[C]</v>
      </c>
      <c r="L14" s="40" t="s">
        <v>33</v>
      </c>
      <c r="M14" s="36" t="str">
        <f>H14</f>
        <v>[C]</v>
      </c>
      <c r="N14" s="37"/>
      <c r="O14" s="37"/>
    </row>
    <row r="15" spans="1:11" s="45" customFormat="1" ht="18" customHeight="1">
      <c r="A15" s="41" t="s">
        <v>34</v>
      </c>
      <c r="B15" s="42">
        <v>40368</v>
      </c>
      <c r="C15" s="42"/>
      <c r="D15" s="42"/>
      <c r="E15" s="42"/>
      <c r="F15" s="42"/>
      <c r="G15" s="43"/>
      <c r="H15" s="44"/>
      <c r="I15" s="44"/>
      <c r="J15" s="44"/>
      <c r="K15" s="44"/>
    </row>
    <row r="16" spans="1:15" s="45" customFormat="1" ht="18" customHeight="1">
      <c r="A16" s="46" t="s">
        <v>35</v>
      </c>
      <c r="B16" s="47" t="s">
        <v>36</v>
      </c>
      <c r="C16" s="47"/>
      <c r="D16" s="47"/>
      <c r="E16" s="47"/>
      <c r="F16" s="47"/>
      <c r="G16" s="47"/>
      <c r="H16" s="47"/>
      <c r="I16" s="47"/>
      <c r="J16" s="47"/>
      <c r="K16" s="47"/>
      <c r="L16" s="47"/>
      <c r="M16" s="47"/>
      <c r="N16" s="47"/>
      <c r="O16" s="47"/>
    </row>
    <row r="17" spans="1:15" s="50" customFormat="1" ht="18" customHeight="1">
      <c r="A17" s="48" t="s">
        <v>37</v>
      </c>
      <c r="B17" s="48"/>
      <c r="C17" s="49"/>
      <c r="D17" s="49"/>
      <c r="E17" s="49"/>
      <c r="F17" s="49"/>
      <c r="G17" s="49"/>
      <c r="H17" s="49"/>
      <c r="I17" s="49"/>
      <c r="J17" s="49"/>
      <c r="K17" s="49"/>
      <c r="L17" s="49"/>
      <c r="M17" s="49"/>
      <c r="N17" s="49"/>
      <c r="O17" s="49"/>
    </row>
    <row r="18" spans="1:14" s="11" customFormat="1" ht="18" customHeight="1">
      <c r="A18" s="51" t="str">
        <f>C14</f>
        <v>[A]</v>
      </c>
      <c r="B18" s="52" t="s">
        <v>38</v>
      </c>
      <c r="C18" s="53"/>
      <c r="D18" s="53"/>
      <c r="E18" s="53"/>
      <c r="F18" s="54"/>
      <c r="G18" s="54"/>
      <c r="H18" s="53"/>
      <c r="I18" s="53"/>
      <c r="J18" s="53"/>
      <c r="K18" s="53"/>
      <c r="L18" s="53"/>
      <c r="M18" s="53"/>
      <c r="N18" s="53"/>
    </row>
    <row r="19" spans="1:14" s="11" customFormat="1" ht="18" customHeight="1">
      <c r="A19" s="51" t="str">
        <f>G14</f>
        <v>[B]</v>
      </c>
      <c r="B19" s="55" t="s">
        <v>39</v>
      </c>
      <c r="C19" s="53"/>
      <c r="D19" s="53"/>
      <c r="E19" s="53"/>
      <c r="F19" s="54"/>
      <c r="G19" s="54"/>
      <c r="H19" s="53"/>
      <c r="I19" s="53"/>
      <c r="J19" s="53"/>
      <c r="K19" s="53"/>
      <c r="L19" s="53"/>
      <c r="M19" s="53"/>
      <c r="N19" s="53"/>
    </row>
    <row r="20" spans="1:14" s="11" customFormat="1" ht="18" customHeight="1">
      <c r="A20" s="51" t="str">
        <f>H14</f>
        <v>[C]</v>
      </c>
      <c r="B20" s="55" t="s">
        <v>40</v>
      </c>
      <c r="C20" s="53"/>
      <c r="D20" s="53"/>
      <c r="E20" s="53"/>
      <c r="F20" s="54"/>
      <c r="G20" s="54"/>
      <c r="H20" s="53"/>
      <c r="I20" s="53"/>
      <c r="J20" s="53"/>
      <c r="K20" s="53"/>
      <c r="L20" s="53"/>
      <c r="M20" s="53"/>
      <c r="N20" s="53"/>
    </row>
    <row r="21" spans="1:14" s="11" customFormat="1" ht="18" customHeight="1">
      <c r="A21" s="51" t="str">
        <f>I14</f>
        <v>[D]</v>
      </c>
      <c r="B21" s="55" t="s">
        <v>41</v>
      </c>
      <c r="C21" s="53"/>
      <c r="D21" s="53"/>
      <c r="E21" s="53"/>
      <c r="F21" s="54"/>
      <c r="G21" s="54"/>
      <c r="H21" s="53"/>
      <c r="I21" s="53"/>
      <c r="J21" s="53"/>
      <c r="K21" s="53"/>
      <c r="L21" s="53"/>
      <c r="M21" s="53"/>
      <c r="N21" s="53"/>
    </row>
    <row r="22" spans="1:15" s="11" customFormat="1" ht="36" customHeight="1">
      <c r="A22" s="51" t="str">
        <f>J14</f>
        <v>[E]</v>
      </c>
      <c r="B22" s="56" t="s">
        <v>42</v>
      </c>
      <c r="C22" s="56"/>
      <c r="D22" s="56"/>
      <c r="E22" s="56"/>
      <c r="F22" s="56"/>
      <c r="G22" s="56"/>
      <c r="H22" s="56"/>
      <c r="I22" s="56"/>
      <c r="J22" s="56"/>
      <c r="K22" s="56"/>
      <c r="L22" s="56"/>
      <c r="M22" s="56"/>
      <c r="N22" s="56"/>
      <c r="O22" s="56"/>
    </row>
    <row r="23" spans="1:14" s="11" customFormat="1" ht="18" customHeight="1">
      <c r="A23" s="51" t="str">
        <f>L14</f>
        <v>[F]</v>
      </c>
      <c r="B23" s="55" t="s">
        <v>43</v>
      </c>
      <c r="C23" s="53"/>
      <c r="D23" s="53"/>
      <c r="E23" s="53"/>
      <c r="F23" s="54"/>
      <c r="G23" s="54"/>
      <c r="H23" s="53"/>
      <c r="I23" s="53"/>
      <c r="J23" s="53"/>
      <c r="K23" s="53"/>
      <c r="L23" s="53"/>
      <c r="M23" s="53"/>
      <c r="N23" s="53"/>
    </row>
    <row r="24" spans="1:15" s="50" customFormat="1" ht="18" customHeight="1">
      <c r="A24" s="57" t="s">
        <v>44</v>
      </c>
      <c r="B24" s="49"/>
      <c r="C24" s="49"/>
      <c r="D24" s="49"/>
      <c r="E24" s="49"/>
      <c r="F24" s="49"/>
      <c r="G24" s="49"/>
      <c r="H24" s="49"/>
      <c r="I24" s="49"/>
      <c r="J24" s="49"/>
      <c r="K24" s="49"/>
      <c r="L24" s="49"/>
      <c r="M24" s="49"/>
      <c r="N24" s="49"/>
      <c r="O24" s="49"/>
    </row>
    <row r="25" spans="1:14" s="50" customFormat="1" ht="18" customHeight="1">
      <c r="A25" s="58" t="s">
        <v>45</v>
      </c>
      <c r="B25" s="59" t="s">
        <v>46</v>
      </c>
      <c r="C25" s="59"/>
      <c r="D25" s="59"/>
      <c r="E25" s="59"/>
      <c r="F25" s="59"/>
      <c r="G25" s="59"/>
      <c r="H25" s="60"/>
      <c r="I25" s="60"/>
      <c r="J25" s="60"/>
      <c r="K25" s="60"/>
      <c r="L25" s="60"/>
      <c r="M25" s="60"/>
      <c r="N25" s="60"/>
    </row>
    <row r="26" spans="2:11" ht="18" customHeight="1">
      <c r="B26" s="61" t="s">
        <v>47</v>
      </c>
      <c r="C26" s="62"/>
      <c r="D26" s="36" t="s">
        <v>48</v>
      </c>
      <c r="E26" s="37"/>
      <c r="F26" s="38"/>
      <c r="G26" s="36" t="s">
        <v>49</v>
      </c>
      <c r="H26" s="38"/>
      <c r="I26" s="63" t="s">
        <v>50</v>
      </c>
      <c r="J26" s="64" t="s">
        <v>51</v>
      </c>
      <c r="K26" s="65"/>
    </row>
    <row r="27" spans="2:11" ht="36" customHeight="1">
      <c r="B27" s="12"/>
      <c r="C27" s="13"/>
      <c r="D27" s="18" t="s">
        <v>52</v>
      </c>
      <c r="E27" s="17" t="s">
        <v>53</v>
      </c>
      <c r="F27" s="17" t="s">
        <v>54</v>
      </c>
      <c r="G27" s="66" t="s">
        <v>12</v>
      </c>
      <c r="H27" s="17" t="s">
        <v>55</v>
      </c>
      <c r="I27" s="14"/>
      <c r="J27" s="15"/>
      <c r="K27" s="65"/>
    </row>
    <row r="28" spans="2:11" ht="12.75" customHeight="1">
      <c r="B28" s="67" t="s">
        <v>17</v>
      </c>
      <c r="C28" s="68"/>
      <c r="D28" s="19">
        <f>'[1]OECD Physicians'!L$5</f>
        <v>2.42</v>
      </c>
      <c r="E28" s="69">
        <v>0.3</v>
      </c>
      <c r="F28" s="70">
        <f>0.68+0.39</f>
        <v>1.07</v>
      </c>
      <c r="G28" s="24">
        <f aca="true" t="shared" si="8" ref="G28:G36">D28*C4/1000</f>
        <v>722.03846</v>
      </c>
      <c r="H28" s="71">
        <f>G28*(D28-E28-F28)/D28</f>
        <v>313.28115</v>
      </c>
      <c r="I28" s="72">
        <f>F28/D28</f>
        <v>0.44214876033057854</v>
      </c>
      <c r="J28" s="72">
        <f>E28/D28</f>
        <v>0.12396694214876033</v>
      </c>
      <c r="K28" s="21"/>
    </row>
    <row r="29" spans="2:11" ht="12.75" customHeight="1">
      <c r="B29" s="73" t="s">
        <v>18</v>
      </c>
      <c r="C29" s="74"/>
      <c r="D29" s="26">
        <f>'[1]OECD Physicians'!G$5</f>
        <v>2.09</v>
      </c>
      <c r="E29" s="75">
        <f>E37*$D29/$D37</f>
        <v>0.4874754998039983</v>
      </c>
      <c r="F29" s="75">
        <f>F37*$D29/$D37</f>
        <v>0.7996236769894158</v>
      </c>
      <c r="G29" s="28">
        <f t="shared" si="8"/>
        <v>267.03929999999997</v>
      </c>
      <c r="H29" s="71">
        <f>G29*(D29-E29-F29)/D29</f>
        <v>102.58663818110546</v>
      </c>
      <c r="I29" s="76">
        <f aca="true" t="shared" si="9" ref="I29:I36">F29/D29</f>
        <v>0.38259506076048605</v>
      </c>
      <c r="J29" s="76">
        <f aca="true" t="shared" si="10" ref="J29:J37">E29/D29</f>
        <v>0.23324186593492743</v>
      </c>
      <c r="K29" s="21"/>
    </row>
    <row r="30" spans="2:11" ht="12.75" customHeight="1">
      <c r="B30" s="73" t="s">
        <v>19</v>
      </c>
      <c r="C30" s="74"/>
      <c r="D30" s="26">
        <f>'[1]OECD Physicians'!K$5</f>
        <v>2.44</v>
      </c>
      <c r="E30" s="77">
        <v>0.71</v>
      </c>
      <c r="F30" s="78">
        <f>0.54+0.67</f>
        <v>1.21</v>
      </c>
      <c r="G30" s="28">
        <f t="shared" si="8"/>
        <v>145.774506</v>
      </c>
      <c r="H30" s="71">
        <f>G30*(D30-E30-F30)/D30</f>
        <v>31.066698000000002</v>
      </c>
      <c r="I30" s="79">
        <f t="shared" si="9"/>
        <v>0.4959016393442623</v>
      </c>
      <c r="J30" s="79">
        <f t="shared" si="10"/>
        <v>0.29098360655737704</v>
      </c>
      <c r="K30" s="21"/>
    </row>
    <row r="31" spans="2:11" ht="12.75" customHeight="1">
      <c r="B31" s="73" t="s">
        <v>20</v>
      </c>
      <c r="C31" s="74"/>
      <c r="D31" s="26">
        <f>'[1]OECD Physicians'!E$5</f>
        <v>3.39</v>
      </c>
      <c r="E31" s="80">
        <v>1.64</v>
      </c>
      <c r="F31" s="81">
        <f>0.82+0.34</f>
        <v>1.16</v>
      </c>
      <c r="G31" s="28">
        <f t="shared" si="8"/>
        <v>208.81383000000002</v>
      </c>
      <c r="H31" s="71">
        <f>G31*(D31-E31-F31)/D31</f>
        <v>36.34223000000002</v>
      </c>
      <c r="I31" s="79">
        <f t="shared" si="9"/>
        <v>0.34218289085545717</v>
      </c>
      <c r="J31" s="79">
        <f t="shared" si="10"/>
        <v>0.48377581120943947</v>
      </c>
      <c r="K31" s="21"/>
    </row>
    <row r="32" spans="2:11" ht="12.75" customHeight="1">
      <c r="B32" s="73" t="s">
        <v>21</v>
      </c>
      <c r="C32" s="74"/>
      <c r="D32" s="26">
        <f>'[1]OECD Physicians'!F$5</f>
        <v>3.69</v>
      </c>
      <c r="E32" s="80">
        <v>0.79</v>
      </c>
      <c r="F32" s="81">
        <v>1.24</v>
      </c>
      <c r="G32" s="28">
        <f t="shared" si="8"/>
        <v>215.62515</v>
      </c>
      <c r="H32" s="71">
        <f>G32*(D32-E32-F32)/D32</f>
        <v>97.00209999999998</v>
      </c>
      <c r="I32" s="79">
        <f t="shared" si="9"/>
        <v>0.33604336043360433</v>
      </c>
      <c r="J32" s="79">
        <f t="shared" si="10"/>
        <v>0.2140921409214092</v>
      </c>
      <c r="K32" s="21"/>
    </row>
    <row r="33" spans="2:11" ht="12.75" customHeight="1">
      <c r="B33" s="73" t="s">
        <v>22</v>
      </c>
      <c r="C33" s="74"/>
      <c r="D33" s="26">
        <f>'[1]OECD Physicians'!D$5</f>
        <v>2.15</v>
      </c>
      <c r="E33" s="80">
        <v>1.04</v>
      </c>
      <c r="F33" s="81">
        <f>0.48+0.33</f>
        <v>0.81</v>
      </c>
      <c r="G33" s="28">
        <f t="shared" si="8"/>
        <v>70.0384</v>
      </c>
      <c r="H33" s="71">
        <f>G33*(D33-E33-F33)/D33</f>
        <v>9.772799999999995</v>
      </c>
      <c r="I33" s="79">
        <f t="shared" si="9"/>
        <v>0.37674418604651166</v>
      </c>
      <c r="J33" s="79">
        <f t="shared" si="10"/>
        <v>0.4837209302325582</v>
      </c>
      <c r="K33" s="21"/>
    </row>
    <row r="34" spans="2:11" ht="12.75" customHeight="1">
      <c r="B34" s="73" t="s">
        <v>23</v>
      </c>
      <c r="C34" s="74"/>
      <c r="D34" s="26">
        <f>'[1]OECD Physicians'!I$5</f>
        <v>3.75</v>
      </c>
      <c r="E34" s="80">
        <v>0.43</v>
      </c>
      <c r="F34" s="81">
        <f>0.57+0.45</f>
        <v>1.02</v>
      </c>
      <c r="G34" s="28">
        <f t="shared" si="8"/>
        <v>17.47875</v>
      </c>
      <c r="H34" s="71">
        <f>G34*(D34-E34-F34)/D34</f>
        <v>10.7203</v>
      </c>
      <c r="I34" s="79">
        <f t="shared" si="9"/>
        <v>0.272</v>
      </c>
      <c r="J34" s="79">
        <f t="shared" si="10"/>
        <v>0.11466666666666667</v>
      </c>
      <c r="K34" s="21"/>
    </row>
    <row r="35" spans="2:11" ht="12.75" customHeight="1">
      <c r="B35" s="73" t="s">
        <v>24</v>
      </c>
      <c r="C35" s="74"/>
      <c r="D35" s="26">
        <f>'[1]OECD Physicians'!J$5</f>
        <v>3.85</v>
      </c>
      <c r="E35" s="80">
        <v>0.52</v>
      </c>
      <c r="F35" s="81">
        <v>2.5</v>
      </c>
      <c r="G35" s="28">
        <f t="shared" si="8"/>
        <v>28.81314975</v>
      </c>
      <c r="H35" s="71">
        <f>G35*(D35-E35-F35)/D35</f>
        <v>6.211666050000001</v>
      </c>
      <c r="I35" s="79">
        <f t="shared" si="9"/>
        <v>0.6493506493506493</v>
      </c>
      <c r="J35" s="79">
        <f t="shared" si="10"/>
        <v>0.13506493506493505</v>
      </c>
      <c r="K35" s="21"/>
    </row>
    <row r="36" spans="2:11" ht="12.75" customHeight="1">
      <c r="B36" s="73" t="s">
        <v>25</v>
      </c>
      <c r="C36" s="74"/>
      <c r="D36" s="80">
        <f>'[1]OECD Physicians'!H$5</f>
        <v>3.82</v>
      </c>
      <c r="E36" s="80">
        <v>0.52</v>
      </c>
      <c r="F36" s="81">
        <f>0.46+0.29</f>
        <v>0.75</v>
      </c>
      <c r="G36" s="28">
        <f t="shared" si="8"/>
        <v>62.442102</v>
      </c>
      <c r="H36" s="71">
        <f>G36*(D36-E36-F36)/D36</f>
        <v>41.682555</v>
      </c>
      <c r="I36" s="79">
        <f t="shared" si="9"/>
        <v>0.19633507853403143</v>
      </c>
      <c r="J36" s="79">
        <f t="shared" si="10"/>
        <v>0.13612565445026178</v>
      </c>
      <c r="K36" s="21"/>
    </row>
    <row r="37" spans="2:11" ht="12.75" customHeight="1">
      <c r="B37" s="73" t="s">
        <v>56</v>
      </c>
      <c r="C37" s="74"/>
      <c r="D37" s="82">
        <f>AVERAGE(D28,D30:D36)</f>
        <v>3.18875</v>
      </c>
      <c r="E37" s="82">
        <f>AVERAGE(E28,E30:E36)</f>
        <v>0.7437499999999999</v>
      </c>
      <c r="F37" s="83">
        <f>AVERAGE(F28,F30:F36)</f>
        <v>1.22</v>
      </c>
      <c r="H37" s="84"/>
      <c r="I37" s="79">
        <f>AVERAGE(I28,I30:I36)</f>
        <v>0.38883832061188683</v>
      </c>
      <c r="J37" s="79">
        <f t="shared" si="10"/>
        <v>0.23324186593492743</v>
      </c>
      <c r="K37" s="85"/>
    </row>
    <row r="38" spans="2:11" ht="12.75" customHeight="1">
      <c r="B38" s="73" t="s">
        <v>57</v>
      </c>
      <c r="C38" s="74"/>
      <c r="D38" s="86">
        <f>AVERAGE(D28:D36)</f>
        <v>3.066666666666667</v>
      </c>
      <c r="E38" s="86">
        <f>AVERAGE(E28:E36)</f>
        <v>0.7152750555337776</v>
      </c>
      <c r="F38" s="86">
        <f>AVERAGE(F28:F36)</f>
        <v>1.1732915196654907</v>
      </c>
      <c r="H38" s="84"/>
      <c r="I38" s="86">
        <f>AVERAGE(I28:I36)</f>
        <v>0.38814462507284236</v>
      </c>
      <c r="J38" s="87">
        <f>AVERAGE(J28:J36)</f>
        <v>0.24618206146514834</v>
      </c>
      <c r="K38" s="85"/>
    </row>
    <row r="39" spans="2:11" s="11" customFormat="1" ht="18" customHeight="1">
      <c r="B39" s="88" t="s">
        <v>27</v>
      </c>
      <c r="C39" s="89"/>
      <c r="D39" s="90" t="s">
        <v>58</v>
      </c>
      <c r="E39" s="36" t="s">
        <v>59</v>
      </c>
      <c r="F39" s="38"/>
      <c r="G39" s="90" t="s">
        <v>60</v>
      </c>
      <c r="H39" s="90" t="s">
        <v>61</v>
      </c>
      <c r="I39" s="36" t="s">
        <v>62</v>
      </c>
      <c r="J39" s="37"/>
      <c r="K39" s="53"/>
    </row>
    <row r="40" spans="2:8" s="11" customFormat="1" ht="18" customHeight="1">
      <c r="B40" s="51" t="str">
        <f>D39</f>
        <v>[P1a]</v>
      </c>
      <c r="C40" s="52" t="s">
        <v>63</v>
      </c>
      <c r="D40" s="54"/>
      <c r="E40" s="54"/>
      <c r="F40" s="54"/>
      <c r="G40" s="54"/>
      <c r="H40" s="54"/>
    </row>
    <row r="41" spans="1:15" s="11" customFormat="1" ht="24.75" customHeight="1">
      <c r="A41" s="54"/>
      <c r="B41" s="51" t="str">
        <f>E39</f>
        <v>[P1b]</v>
      </c>
      <c r="C41" s="91" t="s">
        <v>64</v>
      </c>
      <c r="D41" s="91"/>
      <c r="E41" s="91"/>
      <c r="F41" s="91"/>
      <c r="G41" s="91"/>
      <c r="H41" s="91"/>
      <c r="I41" s="91"/>
      <c r="J41" s="91"/>
      <c r="K41" s="91"/>
      <c r="L41" s="91"/>
      <c r="M41" s="91"/>
      <c r="N41" s="91"/>
      <c r="O41" s="91"/>
    </row>
    <row r="42" spans="1:15" s="11" customFormat="1" ht="18" customHeight="1">
      <c r="A42" s="54"/>
      <c r="B42" s="51" t="str">
        <f>G39</f>
        <v>[P1c]</v>
      </c>
      <c r="C42" s="52" t="s">
        <v>65</v>
      </c>
      <c r="D42" s="92"/>
      <c r="E42" s="92"/>
      <c r="F42" s="92"/>
      <c r="G42" s="92"/>
      <c r="H42" s="92"/>
      <c r="I42" s="92"/>
      <c r="J42" s="92"/>
      <c r="K42" s="92"/>
      <c r="L42" s="92"/>
      <c r="M42" s="92"/>
      <c r="N42" s="92"/>
      <c r="O42" s="92"/>
    </row>
    <row r="43" spans="1:8" s="11" customFormat="1" ht="18" customHeight="1">
      <c r="A43" s="54"/>
      <c r="B43" s="51" t="str">
        <f>H39</f>
        <v>[P1d]</v>
      </c>
      <c r="C43" s="52" t="s">
        <v>66</v>
      </c>
      <c r="D43" s="54"/>
      <c r="E43" s="54"/>
      <c r="F43" s="54"/>
      <c r="G43" s="54"/>
      <c r="H43" s="54"/>
    </row>
    <row r="44" spans="1:8" s="11" customFormat="1" ht="18" customHeight="1">
      <c r="A44" s="54"/>
      <c r="B44" s="51" t="str">
        <f>I39</f>
        <v>[P1e]</v>
      </c>
      <c r="C44" s="52" t="s">
        <v>67</v>
      </c>
      <c r="D44" s="54"/>
      <c r="E44" s="54"/>
      <c r="F44" s="54"/>
      <c r="G44" s="54"/>
      <c r="H44" s="54"/>
    </row>
    <row r="45" spans="1:15" s="50" customFormat="1" ht="18" customHeight="1">
      <c r="A45" s="58" t="s">
        <v>68</v>
      </c>
      <c r="B45" s="59" t="s">
        <v>69</v>
      </c>
      <c r="C45" s="59"/>
      <c r="D45" s="59"/>
      <c r="E45" s="59"/>
      <c r="F45" s="59"/>
      <c r="G45" s="59"/>
      <c r="H45" s="49"/>
      <c r="I45" s="49"/>
      <c r="J45" s="49"/>
      <c r="K45" s="49"/>
      <c r="L45" s="49"/>
      <c r="M45" s="49"/>
      <c r="N45" s="49"/>
      <c r="O45" s="60"/>
    </row>
    <row r="46" spans="2:15" ht="15" customHeight="1">
      <c r="B46" s="61" t="s">
        <v>47</v>
      </c>
      <c r="C46" s="62"/>
      <c r="D46" s="37" t="s">
        <v>70</v>
      </c>
      <c r="E46" s="37"/>
      <c r="F46" s="37"/>
      <c r="G46" s="38"/>
      <c r="H46" s="37" t="s">
        <v>71</v>
      </c>
      <c r="I46" s="37"/>
      <c r="J46" s="38"/>
      <c r="K46" s="63" t="s">
        <v>72</v>
      </c>
      <c r="L46" s="93" t="s">
        <v>73</v>
      </c>
      <c r="M46" s="94"/>
      <c r="N46" s="94"/>
      <c r="O46" s="85"/>
    </row>
    <row r="47" spans="2:15" ht="45">
      <c r="B47" s="12"/>
      <c r="C47" s="13"/>
      <c r="D47" s="39" t="s">
        <v>74</v>
      </c>
      <c r="E47" s="17" t="s">
        <v>75</v>
      </c>
      <c r="F47" s="17" t="s">
        <v>76</v>
      </c>
      <c r="G47" s="95" t="s">
        <v>77</v>
      </c>
      <c r="H47" s="39" t="s">
        <v>74</v>
      </c>
      <c r="I47" s="17" t="s">
        <v>78</v>
      </c>
      <c r="J47" s="17" t="s">
        <v>79</v>
      </c>
      <c r="K47" s="14"/>
      <c r="L47" s="66" t="s">
        <v>80</v>
      </c>
      <c r="M47" s="18" t="s">
        <v>81</v>
      </c>
      <c r="N47" s="96" t="s">
        <v>82</v>
      </c>
      <c r="O47" s="85"/>
    </row>
    <row r="48" spans="2:15" ht="12.75" customHeight="1">
      <c r="B48" s="67" t="s">
        <v>17</v>
      </c>
      <c r="C48" s="68"/>
      <c r="D48" s="70">
        <v>2003</v>
      </c>
      <c r="E48" s="97">
        <v>146</v>
      </c>
      <c r="F48" s="70">
        <v>236</v>
      </c>
      <c r="G48" s="98">
        <f>F48/E48</f>
        <v>1.6164383561643836</v>
      </c>
      <c r="H48" s="99">
        <v>2003</v>
      </c>
      <c r="I48" s="100">
        <v>51230</v>
      </c>
      <c r="J48" s="101">
        <f>1000*F48</f>
        <v>236000</v>
      </c>
      <c r="K48" s="101">
        <f>E48*(190940/174280)*1000</f>
        <v>159956.6215285747</v>
      </c>
      <c r="L48" s="69">
        <f>J48/I48</f>
        <v>4.606675775912551</v>
      </c>
      <c r="M48" s="102">
        <f aca="true" t="shared" si="11" ref="M48:M56">L48/G48</f>
        <v>2.849892641030646</v>
      </c>
      <c r="N48" s="103">
        <f aca="true" t="shared" si="12" ref="N48:N56">K48/I48</f>
        <v>3.12232327793431</v>
      </c>
      <c r="O48" s="85"/>
    </row>
    <row r="49" spans="2:15" ht="12.75" customHeight="1">
      <c r="B49" s="73" t="s">
        <v>18</v>
      </c>
      <c r="C49" s="74"/>
      <c r="D49" s="81"/>
      <c r="E49" s="104">
        <f>M49*I49/1000</f>
        <v>67.67123824915213</v>
      </c>
      <c r="F49" s="105" t="s">
        <v>83</v>
      </c>
      <c r="G49" s="106">
        <f>G57</f>
        <v>1.6084570726538348</v>
      </c>
      <c r="H49" s="107">
        <v>2008</v>
      </c>
      <c r="I49" s="100">
        <v>38866</v>
      </c>
      <c r="J49" s="108">
        <f>L49*I49</f>
        <v>108846.28177709144</v>
      </c>
      <c r="K49" s="109">
        <f>J49*K$57/J$57</f>
        <v>88032.04240121816</v>
      </c>
      <c r="L49" s="106">
        <f>L57</f>
        <v>2.800552713865369</v>
      </c>
      <c r="M49" s="102">
        <f t="shared" si="11"/>
        <v>1.7411423416135472</v>
      </c>
      <c r="N49" s="110">
        <f t="shared" si="12"/>
        <v>2.2650142129680995</v>
      </c>
      <c r="O49" s="80"/>
    </row>
    <row r="50" spans="2:15" ht="12.75" customHeight="1">
      <c r="B50" s="73" t="s">
        <v>19</v>
      </c>
      <c r="C50" s="74"/>
      <c r="D50" s="81">
        <v>2004</v>
      </c>
      <c r="E50" s="97">
        <v>121</v>
      </c>
      <c r="F50" s="81">
        <v>153</v>
      </c>
      <c r="G50" s="83">
        <f>F50/E50</f>
        <v>1.2644628099173554</v>
      </c>
      <c r="H50" s="107">
        <v>2009</v>
      </c>
      <c r="I50" s="111">
        <v>49999</v>
      </c>
      <c r="J50" s="111">
        <v>120421</v>
      </c>
      <c r="K50" s="112">
        <f>E50*(190940/174280)*1000</f>
        <v>132566.78907505164</v>
      </c>
      <c r="L50" s="113">
        <f>J50/I50</f>
        <v>2.4084681693633874</v>
      </c>
      <c r="M50" s="102">
        <f t="shared" si="11"/>
        <v>1.9047362646599337</v>
      </c>
      <c r="N50" s="103">
        <f t="shared" si="12"/>
        <v>2.6513888092772184</v>
      </c>
      <c r="O50" s="85"/>
    </row>
    <row r="51" spans="2:15" ht="12.75" customHeight="1">
      <c r="B51" s="73" t="s">
        <v>20</v>
      </c>
      <c r="C51" s="74"/>
      <c r="D51" s="81">
        <v>2004</v>
      </c>
      <c r="E51" s="97">
        <v>84</v>
      </c>
      <c r="F51" s="81">
        <v>144</v>
      </c>
      <c r="G51" s="83">
        <f>F51/E51</f>
        <v>1.7142857142857142</v>
      </c>
      <c r="H51" s="81"/>
      <c r="I51" s="108">
        <f>J51/L51</f>
        <v>51418.421544813136</v>
      </c>
      <c r="J51" s="100">
        <f>F51*1000</f>
        <v>144000</v>
      </c>
      <c r="K51" s="112">
        <f>E51*(190940/174280)*1000</f>
        <v>92029.8370438375</v>
      </c>
      <c r="L51" s="106">
        <f>L49</f>
        <v>2.800552713865369</v>
      </c>
      <c r="M51" s="102">
        <f t="shared" si="11"/>
        <v>1.6336557497547988</v>
      </c>
      <c r="N51" s="110">
        <f t="shared" si="12"/>
        <v>1.7898222909007417</v>
      </c>
      <c r="O51" s="85"/>
    </row>
    <row r="52" spans="2:15" ht="12.75" customHeight="1">
      <c r="B52" s="73" t="s">
        <v>21</v>
      </c>
      <c r="C52" s="74"/>
      <c r="D52" s="81"/>
      <c r="E52" s="104">
        <f>M52*I52/1000</f>
        <v>52.49565029465487</v>
      </c>
      <c r="F52" s="105" t="s">
        <v>83</v>
      </c>
      <c r="G52" s="106">
        <f>G49</f>
        <v>1.6084570726538348</v>
      </c>
      <c r="H52" s="107">
        <v>2009</v>
      </c>
      <c r="I52" s="27">
        <v>34200</v>
      </c>
      <c r="J52" s="27">
        <v>84437</v>
      </c>
      <c r="K52" s="109">
        <f>J52*K$57/J$57</f>
        <v>68290.45000778424</v>
      </c>
      <c r="L52" s="113">
        <f>J52/I52</f>
        <v>2.4689181286549706</v>
      </c>
      <c r="M52" s="102">
        <f t="shared" si="11"/>
        <v>1.534960534931429</v>
      </c>
      <c r="N52" s="103">
        <f t="shared" si="12"/>
        <v>1.9967967838533403</v>
      </c>
      <c r="O52" s="85"/>
    </row>
    <row r="53" spans="2:15" ht="12.75" customHeight="1">
      <c r="B53" s="73" t="s">
        <v>22</v>
      </c>
      <c r="C53" s="74"/>
      <c r="D53" s="81">
        <v>2004</v>
      </c>
      <c r="E53" s="97">
        <v>106</v>
      </c>
      <c r="F53" s="81">
        <v>159</v>
      </c>
      <c r="G53" s="83">
        <f>F53/E53</f>
        <v>1.5</v>
      </c>
      <c r="H53" s="81"/>
      <c r="I53" s="108">
        <f>J53/L53</f>
        <v>56774.50712239784</v>
      </c>
      <c r="J53" s="100">
        <f>F53*1000</f>
        <v>159000</v>
      </c>
      <c r="K53" s="112">
        <f>E53*(190940/174280)*1000</f>
        <v>116132.88960293781</v>
      </c>
      <c r="L53" s="106">
        <f>L51</f>
        <v>2.800552713865369</v>
      </c>
      <c r="M53" s="102">
        <f t="shared" si="11"/>
        <v>1.8670351425769127</v>
      </c>
      <c r="N53" s="110">
        <f t="shared" si="12"/>
        <v>2.0455111896008478</v>
      </c>
      <c r="O53" s="85"/>
    </row>
    <row r="54" spans="2:15" ht="12.75" customHeight="1">
      <c r="B54" s="73" t="s">
        <v>23</v>
      </c>
      <c r="C54" s="74"/>
      <c r="D54" s="81"/>
      <c r="E54" s="104">
        <f>M54*I54/1000</f>
        <v>49.97024873494897</v>
      </c>
      <c r="F54" s="105" t="s">
        <v>83</v>
      </c>
      <c r="G54" s="106">
        <f>G52</f>
        <v>1.6084570726538348</v>
      </c>
      <c r="H54" s="107">
        <v>2008</v>
      </c>
      <c r="I54" s="27">
        <v>46780</v>
      </c>
      <c r="J54" s="27">
        <v>80375</v>
      </c>
      <c r="K54" s="109">
        <f>J54*K$57/J$57</f>
        <v>65005.21003085918</v>
      </c>
      <c r="L54" s="113">
        <f>J54/I54</f>
        <v>1.7181487815305687</v>
      </c>
      <c r="M54" s="102">
        <f t="shared" si="11"/>
        <v>1.0681968519655616</v>
      </c>
      <c r="N54" s="103">
        <f t="shared" si="12"/>
        <v>1.3895940579491062</v>
      </c>
      <c r="O54" s="85"/>
    </row>
    <row r="55" spans="2:15" ht="12.75" customHeight="1">
      <c r="B55" s="73" t="s">
        <v>24</v>
      </c>
      <c r="C55" s="74"/>
      <c r="D55" s="81">
        <v>2003</v>
      </c>
      <c r="E55" s="97">
        <v>108</v>
      </c>
      <c r="F55" s="81">
        <v>123</v>
      </c>
      <c r="G55" s="83">
        <f>F55/E55</f>
        <v>1.1388888888888888</v>
      </c>
      <c r="H55" s="81"/>
      <c r="I55" s="108">
        <f>J55/L55</f>
        <v>43919.90173619455</v>
      </c>
      <c r="J55" s="100">
        <f>F55*1000</f>
        <v>123000</v>
      </c>
      <c r="K55" s="112">
        <f>E55*(190940/174280)*1000</f>
        <v>118324.07619921965</v>
      </c>
      <c r="L55" s="106">
        <f>L53</f>
        <v>2.800552713865369</v>
      </c>
      <c r="M55" s="102">
        <f t="shared" si="11"/>
        <v>2.4590218951013</v>
      </c>
      <c r="N55" s="110">
        <f t="shared" si="12"/>
        <v>2.694087908254775</v>
      </c>
      <c r="O55" s="85"/>
    </row>
    <row r="56" spans="2:15" ht="12.75" customHeight="1">
      <c r="B56" s="73" t="s">
        <v>25</v>
      </c>
      <c r="C56" s="74"/>
      <c r="D56" s="81">
        <v>2004</v>
      </c>
      <c r="E56" s="97">
        <v>120</v>
      </c>
      <c r="F56" s="81">
        <v>290</v>
      </c>
      <c r="G56" s="83">
        <f>F56/E56</f>
        <v>2.4166666666666665</v>
      </c>
      <c r="H56" s="81"/>
      <c r="I56" s="108">
        <f>J56/L56</f>
        <v>103550.98783330423</v>
      </c>
      <c r="J56" s="100">
        <f>F56*1000</f>
        <v>290000</v>
      </c>
      <c r="K56" s="112">
        <f>E56*(190940/174280)*1000</f>
        <v>131471.19577691072</v>
      </c>
      <c r="L56" s="106">
        <f>L55</f>
        <v>2.800552713865369</v>
      </c>
      <c r="M56" s="102">
        <f t="shared" si="11"/>
        <v>1.1588493988408426</v>
      </c>
      <c r="N56" s="110">
        <f t="shared" si="12"/>
        <v>1.2696276349246642</v>
      </c>
      <c r="O56" s="85"/>
    </row>
    <row r="57" spans="2:15" ht="12.75" customHeight="1">
      <c r="B57" s="26" t="s">
        <v>84</v>
      </c>
      <c r="C57" s="85"/>
      <c r="D57" s="83"/>
      <c r="E57" s="114">
        <f>AVERAGE(E48,E50:E51,E53,E55:E56)</f>
        <v>114.16666666666667</v>
      </c>
      <c r="F57" s="115">
        <f>AVERAGE(F48:F56)</f>
        <v>184.16666666666666</v>
      </c>
      <c r="G57" s="79">
        <f>AVERAGE(G48,G50:G51,G53,G55:G56)</f>
        <v>1.6084570726538348</v>
      </c>
      <c r="H57" s="83"/>
      <c r="I57" s="115">
        <f>AVERAGE(I48,I49,I50,I52,I54)</f>
        <v>44215</v>
      </c>
      <c r="J57" s="116">
        <f>AVERAGE(J48,J50:J56)</f>
        <v>154654.125</v>
      </c>
      <c r="K57" s="116">
        <f>AVERAGE(K48,K50,K51,K53,K55,K56)</f>
        <v>125080.23487108866</v>
      </c>
      <c r="L57" s="83">
        <f>AVERAGE(L54,L52,L50,L48)</f>
        <v>2.800552713865369</v>
      </c>
      <c r="M57" s="117">
        <f>AVERAGE(M48:M56)</f>
        <v>1.801943424497219</v>
      </c>
      <c r="N57" s="110">
        <f>AVERAGE(N48,N50,N52,N54)</f>
        <v>2.290025732253494</v>
      </c>
      <c r="O57" s="85"/>
    </row>
    <row r="58" spans="2:15" ht="12.75" customHeight="1">
      <c r="B58" s="26" t="s">
        <v>85</v>
      </c>
      <c r="C58" s="118"/>
      <c r="D58" s="83"/>
      <c r="E58" s="119">
        <f aca="true" t="shared" si="13" ref="E58:N58">AVERAGE(E48:E56)</f>
        <v>95.01523747541734</v>
      </c>
      <c r="F58" s="119">
        <f t="shared" si="13"/>
        <v>184.16666666666666</v>
      </c>
      <c r="G58" s="86">
        <f t="shared" si="13"/>
        <v>1.6084570726538348</v>
      </c>
      <c r="H58" s="83"/>
      <c r="I58" s="120">
        <f t="shared" si="13"/>
        <v>52970.97980407886</v>
      </c>
      <c r="J58" s="120">
        <f t="shared" si="13"/>
        <v>149564.36464189904</v>
      </c>
      <c r="K58" s="120">
        <f t="shared" si="13"/>
        <v>107978.79018515487</v>
      </c>
      <c r="L58" s="86">
        <f t="shared" si="13"/>
        <v>2.800552713865369</v>
      </c>
      <c r="M58" s="86">
        <f t="shared" si="13"/>
        <v>1.801943424497219</v>
      </c>
      <c r="N58" s="86">
        <f t="shared" si="13"/>
        <v>2.136018462851456</v>
      </c>
      <c r="O58" s="85"/>
    </row>
    <row r="59" spans="2:15" s="11" customFormat="1" ht="18" customHeight="1">
      <c r="B59" s="88" t="s">
        <v>27</v>
      </c>
      <c r="C59" s="89"/>
      <c r="D59" s="37" t="s">
        <v>86</v>
      </c>
      <c r="E59" s="37"/>
      <c r="F59" s="37"/>
      <c r="G59" s="38"/>
      <c r="H59" s="36" t="s">
        <v>87</v>
      </c>
      <c r="I59" s="37"/>
      <c r="J59" s="38"/>
      <c r="K59" s="39" t="s">
        <v>88</v>
      </c>
      <c r="L59" s="36" t="s">
        <v>89</v>
      </c>
      <c r="M59" s="37"/>
      <c r="N59" s="37"/>
      <c r="O59" s="54"/>
    </row>
    <row r="60" spans="1:15" ht="36" customHeight="1">
      <c r="A60" s="85"/>
      <c r="B60" s="121" t="str">
        <f>D59</f>
        <v>[P2a]</v>
      </c>
      <c r="C60" s="122" t="s">
        <v>90</v>
      </c>
      <c r="D60" s="122"/>
      <c r="E60" s="122"/>
      <c r="F60" s="122"/>
      <c r="G60" s="122"/>
      <c r="H60" s="122"/>
      <c r="I60" s="122"/>
      <c r="J60" s="122"/>
      <c r="K60" s="122"/>
      <c r="L60" s="122"/>
      <c r="M60" s="122"/>
      <c r="N60" s="122"/>
      <c r="O60" s="122"/>
    </row>
    <row r="61" spans="1:15" ht="24.75" customHeight="1">
      <c r="A61" s="85"/>
      <c r="B61" s="121" t="str">
        <f>H59</f>
        <v>[P2b]</v>
      </c>
      <c r="C61" s="122" t="s">
        <v>91</v>
      </c>
      <c r="D61" s="122"/>
      <c r="E61" s="122"/>
      <c r="F61" s="122"/>
      <c r="G61" s="122"/>
      <c r="H61" s="122"/>
      <c r="I61" s="122"/>
      <c r="J61" s="122"/>
      <c r="K61" s="122"/>
      <c r="L61" s="122"/>
      <c r="M61" s="122"/>
      <c r="N61" s="122"/>
      <c r="O61" s="122"/>
    </row>
    <row r="62" spans="1:15" ht="36" customHeight="1">
      <c r="A62" s="85"/>
      <c r="B62" s="121" t="str">
        <f>K59</f>
        <v>[P2c]</v>
      </c>
      <c r="C62" s="122" t="s">
        <v>92</v>
      </c>
      <c r="D62" s="122"/>
      <c r="E62" s="122"/>
      <c r="F62" s="122"/>
      <c r="G62" s="122"/>
      <c r="H62" s="122"/>
      <c r="I62" s="122"/>
      <c r="J62" s="122"/>
      <c r="K62" s="122"/>
      <c r="L62" s="122"/>
      <c r="M62" s="122"/>
      <c r="N62" s="122"/>
      <c r="O62" s="122"/>
    </row>
    <row r="63" spans="1:15" s="50" customFormat="1" ht="18" customHeight="1">
      <c r="A63" s="57" t="s">
        <v>93</v>
      </c>
      <c r="B63" s="49"/>
      <c r="C63" s="49"/>
      <c r="D63" s="49"/>
      <c r="E63" s="49"/>
      <c r="F63" s="49"/>
      <c r="G63" s="49"/>
      <c r="H63" s="49"/>
      <c r="I63" s="49"/>
      <c r="J63" s="49"/>
      <c r="K63" s="49"/>
      <c r="L63" s="49"/>
      <c r="M63" s="49"/>
      <c r="N63" s="49"/>
      <c r="O63" s="49"/>
    </row>
    <row r="64" spans="1:15" ht="18" customHeight="1">
      <c r="A64" s="121" t="s">
        <v>94</v>
      </c>
      <c r="B64" s="55" t="s">
        <v>95</v>
      </c>
      <c r="C64" s="55"/>
      <c r="D64" s="55"/>
      <c r="E64" s="55"/>
      <c r="F64" s="55"/>
      <c r="G64" s="55"/>
      <c r="H64" s="55"/>
      <c r="I64" s="55"/>
      <c r="J64" s="55"/>
      <c r="K64" s="55"/>
      <c r="L64" s="55"/>
      <c r="M64" s="55"/>
      <c r="N64" s="55"/>
      <c r="O64" s="55"/>
    </row>
    <row r="65" spans="1:15" ht="24.75" customHeight="1">
      <c r="A65" s="121" t="s">
        <v>96</v>
      </c>
      <c r="B65" s="122" t="s">
        <v>97</v>
      </c>
      <c r="C65" s="122"/>
      <c r="D65" s="122"/>
      <c r="E65" s="122"/>
      <c r="F65" s="122"/>
      <c r="G65" s="122"/>
      <c r="H65" s="122"/>
      <c r="I65" s="122"/>
      <c r="J65" s="122"/>
      <c r="K65" s="122"/>
      <c r="L65" s="122"/>
      <c r="M65" s="122"/>
      <c r="N65" s="122"/>
      <c r="O65" s="122"/>
    </row>
    <row r="66" spans="1:15" ht="24.75" customHeight="1">
      <c r="A66" s="121" t="s">
        <v>98</v>
      </c>
      <c r="B66" s="122" t="s">
        <v>99</v>
      </c>
      <c r="C66" s="122"/>
      <c r="D66" s="122"/>
      <c r="E66" s="122"/>
      <c r="F66" s="122"/>
      <c r="G66" s="122"/>
      <c r="H66" s="122"/>
      <c r="I66" s="122"/>
      <c r="J66" s="122"/>
      <c r="K66" s="122"/>
      <c r="L66" s="122"/>
      <c r="M66" s="122"/>
      <c r="N66" s="122"/>
      <c r="O66" s="122"/>
    </row>
    <row r="67" spans="1:15" ht="24.75" customHeight="1">
      <c r="A67" s="121" t="s">
        <v>100</v>
      </c>
      <c r="B67" s="122" t="s">
        <v>101</v>
      </c>
      <c r="C67" s="122"/>
      <c r="D67" s="122"/>
      <c r="E67" s="122"/>
      <c r="F67" s="122"/>
      <c r="G67" s="122"/>
      <c r="H67" s="122"/>
      <c r="I67" s="122"/>
      <c r="J67" s="122"/>
      <c r="K67" s="122"/>
      <c r="L67" s="122"/>
      <c r="M67" s="122"/>
      <c r="N67" s="122"/>
      <c r="O67" s="122"/>
    </row>
    <row r="68" spans="1:15" s="85" customFormat="1" ht="18" customHeight="1">
      <c r="A68" s="51" t="s">
        <v>102</v>
      </c>
      <c r="B68" s="91" t="s">
        <v>103</v>
      </c>
      <c r="C68" s="91"/>
      <c r="D68" s="91"/>
      <c r="E68" s="91"/>
      <c r="F68" s="91"/>
      <c r="G68" s="91"/>
      <c r="H68" s="91"/>
      <c r="I68" s="91"/>
      <c r="J68" s="91"/>
      <c r="K68" s="91"/>
      <c r="L68" s="91"/>
      <c r="M68" s="91"/>
      <c r="N68" s="91"/>
      <c r="O68" s="91"/>
    </row>
    <row r="69" spans="1:15" s="85" customFormat="1" ht="24.75" customHeight="1">
      <c r="A69" s="51" t="s">
        <v>104</v>
      </c>
      <c r="B69" s="123" t="s">
        <v>105</v>
      </c>
      <c r="C69" s="91"/>
      <c r="D69" s="91"/>
      <c r="E69" s="91"/>
      <c r="F69" s="91"/>
      <c r="G69" s="91"/>
      <c r="H69" s="91"/>
      <c r="I69" s="91"/>
      <c r="J69" s="91"/>
      <c r="K69" s="91"/>
      <c r="L69" s="91"/>
      <c r="M69" s="91"/>
      <c r="N69" s="91"/>
      <c r="O69" s="91"/>
    </row>
    <row r="70" spans="1:15" s="85" customFormat="1" ht="18" customHeight="1">
      <c r="A70" s="51" t="s">
        <v>106</v>
      </c>
      <c r="B70" s="91" t="s">
        <v>107</v>
      </c>
      <c r="C70" s="91"/>
      <c r="D70" s="91"/>
      <c r="E70" s="91"/>
      <c r="F70" s="91"/>
      <c r="G70" s="91"/>
      <c r="H70" s="91"/>
      <c r="I70" s="91"/>
      <c r="J70" s="91"/>
      <c r="K70" s="91"/>
      <c r="L70" s="91"/>
      <c r="M70" s="91"/>
      <c r="N70" s="91"/>
      <c r="O70" s="91"/>
    </row>
    <row r="71" spans="1:8" ht="18">
      <c r="A71" s="124" t="s">
        <v>108</v>
      </c>
      <c r="B71" s="124"/>
      <c r="C71" s="124"/>
      <c r="D71" s="124"/>
      <c r="E71" s="124"/>
      <c r="F71" s="124"/>
      <c r="G71" s="124"/>
      <c r="H71" s="124"/>
    </row>
  </sheetData>
  <sheetProtection/>
  <mergeCells count="69">
    <mergeCell ref="B67:O67"/>
    <mergeCell ref="B68:O68"/>
    <mergeCell ref="B69:O69"/>
    <mergeCell ref="B70:O70"/>
    <mergeCell ref="A71:H71"/>
    <mergeCell ref="L59:N59"/>
    <mergeCell ref="C60:O60"/>
    <mergeCell ref="C61:O61"/>
    <mergeCell ref="C62:O62"/>
    <mergeCell ref="B65:O65"/>
    <mergeCell ref="B66:O66"/>
    <mergeCell ref="B54:C54"/>
    <mergeCell ref="B55:C55"/>
    <mergeCell ref="B56:C56"/>
    <mergeCell ref="B59:C59"/>
    <mergeCell ref="D59:G59"/>
    <mergeCell ref="H59:J59"/>
    <mergeCell ref="B48:C48"/>
    <mergeCell ref="B49:C49"/>
    <mergeCell ref="B50:C50"/>
    <mergeCell ref="B51:C51"/>
    <mergeCell ref="B52:C52"/>
    <mergeCell ref="B53:C53"/>
    <mergeCell ref="E39:F39"/>
    <mergeCell ref="I39:J39"/>
    <mergeCell ref="C41:O41"/>
    <mergeCell ref="B45:G45"/>
    <mergeCell ref="B46:C47"/>
    <mergeCell ref="D46:G46"/>
    <mergeCell ref="H46:J46"/>
    <mergeCell ref="K46:K47"/>
    <mergeCell ref="L46:N46"/>
    <mergeCell ref="B34:C34"/>
    <mergeCell ref="B35:C35"/>
    <mergeCell ref="B36:C36"/>
    <mergeCell ref="B37:C37"/>
    <mergeCell ref="B38:C38"/>
    <mergeCell ref="B39:C39"/>
    <mergeCell ref="B28:C28"/>
    <mergeCell ref="B29:C29"/>
    <mergeCell ref="B30:C30"/>
    <mergeCell ref="B31:C31"/>
    <mergeCell ref="B32:C32"/>
    <mergeCell ref="B33:C33"/>
    <mergeCell ref="B16:O16"/>
    <mergeCell ref="B22:O22"/>
    <mergeCell ref="B25:G25"/>
    <mergeCell ref="B26:C27"/>
    <mergeCell ref="D26:F26"/>
    <mergeCell ref="G26:H26"/>
    <mergeCell ref="I26:I27"/>
    <mergeCell ref="J26:J27"/>
    <mergeCell ref="K26:K27"/>
    <mergeCell ref="L2:L3"/>
    <mergeCell ref="M2:O2"/>
    <mergeCell ref="A13:B13"/>
    <mergeCell ref="C14:F14"/>
    <mergeCell ref="M14:O14"/>
    <mergeCell ref="B15:F15"/>
    <mergeCell ref="A1:O1"/>
    <mergeCell ref="A2:B3"/>
    <mergeCell ref="C2:C3"/>
    <mergeCell ref="D2:D3"/>
    <mergeCell ref="E2:E3"/>
    <mergeCell ref="F2:F3"/>
    <mergeCell ref="G2:G3"/>
    <mergeCell ref="H2:H3"/>
    <mergeCell ref="I2:J2"/>
    <mergeCell ref="K2:K3"/>
  </mergeCells>
  <printOptions/>
  <pageMargins left="0.7" right="0.7" top="0.75" bottom="0.75" header="0.3" footer="0.3"/>
  <pageSetup horizontalDpi="300" verticalDpi="300" orientation="landscape" scale="73" r:id="rId1"/>
  <rowBreaks count="2" manualBreakCount="2">
    <brk id="23" max="14" man="1"/>
    <brk id="62" max="14" man="1"/>
  </rowBreaks>
</worksheet>
</file>

<file path=xl/worksheets/sheet2.xml><?xml version="1.0" encoding="utf-8"?>
<worksheet xmlns="http://schemas.openxmlformats.org/spreadsheetml/2006/main" xmlns:r="http://schemas.openxmlformats.org/officeDocument/2006/relationships">
  <dimension ref="A1:V64"/>
  <sheetViews>
    <sheetView view="pageBreakPreview" zoomScaleSheetLayoutView="100" zoomScalePageLayoutView="0" workbookViewId="0" topLeftCell="A1">
      <pane xSplit="1" ySplit="3" topLeftCell="B40" activePane="bottomRight" state="frozen"/>
      <selection pane="topLeft" activeCell="A82" sqref="A82:IV82"/>
      <selection pane="topRight" activeCell="A82" sqref="A82:IV82"/>
      <selection pane="bottomLeft" activeCell="A82" sqref="A82:IV82"/>
      <selection pane="bottomRight" activeCell="A82" sqref="A82:IV82"/>
    </sheetView>
  </sheetViews>
  <sheetFormatPr defaultColWidth="9.140625" defaultRowHeight="15"/>
  <cols>
    <col min="1" max="1" width="6.7109375" style="50" customWidth="1"/>
    <col min="2" max="2" width="16.8515625" style="50" customWidth="1"/>
    <col min="3" max="7" width="7.7109375" style="50" customWidth="1"/>
    <col min="8" max="14" width="6.7109375" style="50" customWidth="1"/>
    <col min="15" max="16384" width="9.140625" style="50" customWidth="1"/>
  </cols>
  <sheetData>
    <row r="1" spans="1:15" ht="24.75" customHeight="1" thickBot="1">
      <c r="A1" s="125" t="s">
        <v>109</v>
      </c>
      <c r="B1" s="125"/>
      <c r="C1" s="125"/>
      <c r="D1" s="125"/>
      <c r="E1" s="125"/>
      <c r="F1" s="125"/>
      <c r="G1" s="125"/>
      <c r="H1" s="125"/>
      <c r="I1" s="125"/>
      <c r="J1" s="125"/>
      <c r="K1" s="125"/>
      <c r="L1" s="125"/>
      <c r="M1" s="125"/>
      <c r="N1" s="125"/>
      <c r="O1" s="60"/>
    </row>
    <row r="2" spans="1:15" ht="48" customHeight="1" thickTop="1">
      <c r="A2" s="126" t="s">
        <v>110</v>
      </c>
      <c r="B2" s="127"/>
      <c r="C2" s="128" t="s">
        <v>111</v>
      </c>
      <c r="D2" s="129"/>
      <c r="E2" s="129"/>
      <c r="F2" s="129"/>
      <c r="G2" s="130"/>
      <c r="H2" s="128" t="s">
        <v>112</v>
      </c>
      <c r="I2" s="129"/>
      <c r="J2" s="129"/>
      <c r="K2" s="129"/>
      <c r="L2" s="130"/>
      <c r="M2" s="128" t="s">
        <v>113</v>
      </c>
      <c r="N2" s="129"/>
      <c r="O2" s="60"/>
    </row>
    <row r="3" spans="1:15" ht="18" customHeight="1">
      <c r="A3" s="131"/>
      <c r="B3" s="132"/>
      <c r="C3" s="133">
        <v>1995</v>
      </c>
      <c r="D3" s="133">
        <v>1996</v>
      </c>
      <c r="E3" s="133">
        <v>2003</v>
      </c>
      <c r="F3" s="133">
        <v>2006</v>
      </c>
      <c r="G3" s="133">
        <v>2008</v>
      </c>
      <c r="H3" s="133">
        <v>1995</v>
      </c>
      <c r="I3" s="133">
        <v>1996</v>
      </c>
      <c r="J3" s="133">
        <v>2003</v>
      </c>
      <c r="K3" s="133">
        <v>2006</v>
      </c>
      <c r="L3" s="133">
        <v>2008</v>
      </c>
      <c r="M3" s="133">
        <v>1995</v>
      </c>
      <c r="N3" s="134">
        <v>2008</v>
      </c>
      <c r="O3" s="60"/>
    </row>
    <row r="4" spans="1:15" ht="12.75" customHeight="1">
      <c r="A4" s="60" t="s">
        <v>114</v>
      </c>
      <c r="B4" s="60"/>
      <c r="C4" s="135"/>
      <c r="D4" s="135"/>
      <c r="E4" s="135"/>
      <c r="F4" s="135"/>
      <c r="G4" s="135"/>
      <c r="H4" s="136">
        <f aca="true" t="shared" si="0" ref="H4:N4">AVERAGE(H7:H12)</f>
        <v>8.422914822565414</v>
      </c>
      <c r="I4" s="136">
        <f t="shared" si="0"/>
        <v>8.503202626214884</v>
      </c>
      <c r="J4" s="136">
        <f t="shared" si="0"/>
        <v>8.811053232745707</v>
      </c>
      <c r="K4" s="136">
        <f t="shared" si="0"/>
        <v>9.36667684758809</v>
      </c>
      <c r="L4" s="136">
        <f t="shared" si="0"/>
        <v>9.620386315799669</v>
      </c>
      <c r="M4" s="136">
        <f t="shared" si="0"/>
        <v>9.433215124259691</v>
      </c>
      <c r="N4" s="137">
        <f t="shared" si="0"/>
        <v>10.405852791302783</v>
      </c>
      <c r="O4" s="60"/>
    </row>
    <row r="5" spans="1:15" ht="12.75" customHeight="1">
      <c r="A5" s="60" t="s">
        <v>115</v>
      </c>
      <c r="B5" s="60"/>
      <c r="C5" s="135"/>
      <c r="D5" s="135"/>
      <c r="E5" s="135"/>
      <c r="F5" s="135"/>
      <c r="G5" s="135"/>
      <c r="H5" s="136">
        <f>AVERAGE(H7,H9,H11,H12)</f>
        <v>8.75743947493666</v>
      </c>
      <c r="I5" s="136">
        <f>AVERAGE(I7,I9,I11,I12)</f>
        <v>8.848700464153337</v>
      </c>
      <c r="J5" s="136">
        <f>AVERAGE(J7,J9,J11,J12)</f>
        <v>9.199626379572681</v>
      </c>
      <c r="K5" s="136">
        <f>AVERAGE(K7,K9,K11,K12)</f>
        <v>9.642266556404683</v>
      </c>
      <c r="L5" s="136">
        <f>AVERAGE(L7,L9,L11,L12)</f>
        <v>9.839776806402586</v>
      </c>
      <c r="M5" s="136">
        <f>AVERAGE(M7,M8,M9,M11,M12)</f>
        <v>9.45430886873269</v>
      </c>
      <c r="N5" s="137">
        <f>AVERAGE(N7,N8,N9,N11,N12)</f>
        <v>10.520644944972698</v>
      </c>
      <c r="O5" s="60"/>
    </row>
    <row r="6" spans="1:15" ht="12.75" customHeight="1">
      <c r="A6" s="60" t="s">
        <v>116</v>
      </c>
      <c r="B6" s="60"/>
      <c r="C6" s="135"/>
      <c r="D6" s="135"/>
      <c r="E6" s="135"/>
      <c r="F6" s="135"/>
      <c r="G6" s="135"/>
      <c r="H6" s="136">
        <f aca="true" t="shared" si="1" ref="H6:N6">AVERAGE(H7,H9,H10,H11,H12)</f>
        <v>8.82260124509325</v>
      </c>
      <c r="I6" s="136">
        <f t="shared" si="1"/>
        <v>8.90669888722373</v>
      </c>
      <c r="J6" s="136">
        <f t="shared" si="1"/>
        <v>9.203638678688156</v>
      </c>
      <c r="K6" s="136">
        <f t="shared" si="1"/>
        <v>9.626098083605237</v>
      </c>
      <c r="L6" s="136">
        <f t="shared" si="1"/>
        <v>9.831072819366806</v>
      </c>
      <c r="M6" s="136">
        <f t="shared" si="1"/>
        <v>9.730244469567614</v>
      </c>
      <c r="N6" s="136">
        <f t="shared" si="1"/>
        <v>10.613883177284562</v>
      </c>
      <c r="O6" s="60"/>
    </row>
    <row r="7" spans="1:15" ht="12.75" customHeight="1">
      <c r="A7" s="60" t="s">
        <v>117</v>
      </c>
      <c r="B7" s="138"/>
      <c r="C7" s="139">
        <f>H7*C36/100</f>
        <v>13791.575527179346</v>
      </c>
      <c r="D7" s="139">
        <f>I7*D36/100</f>
        <v>14123.36398466651</v>
      </c>
      <c r="E7" s="139">
        <f>J7*C36/100</f>
        <v>14902.469942498694</v>
      </c>
      <c r="F7" s="139">
        <f>K7*F36/100</f>
        <v>17254.69971760276</v>
      </c>
      <c r="G7" s="139">
        <f>L7*G36/100</f>
        <v>18233</v>
      </c>
      <c r="H7" s="140">
        <f>I7*H16/I16</f>
        <v>11.042094097021094</v>
      </c>
      <c r="I7" s="141">
        <f>J7*($I16/$K16)^(7/10)</f>
        <v>11.146386956361486</v>
      </c>
      <c r="J7" s="140">
        <f>M7</f>
        <v>11.931521170935703</v>
      </c>
      <c r="K7" s="141">
        <f>L7*K16/L16</f>
        <v>11.947004173459783</v>
      </c>
      <c r="L7" s="140">
        <f>N7</f>
        <v>12.543168090697707</v>
      </c>
      <c r="M7" s="142">
        <f>'[1]Data3.1.1'!B31</f>
        <v>11.931521170935703</v>
      </c>
      <c r="N7" s="137">
        <f>'[1]Data3.1.1'!C31</f>
        <v>12.543168090697707</v>
      </c>
      <c r="O7" s="60"/>
    </row>
    <row r="8" spans="1:15" ht="12.75" customHeight="1">
      <c r="A8" s="60" t="s">
        <v>18</v>
      </c>
      <c r="B8" s="138"/>
      <c r="C8" s="139">
        <f>H8*C28/100</f>
        <v>4148.288485799369</v>
      </c>
      <c r="D8" s="139">
        <f>I8*D28/100</f>
        <v>4206.638848911288</v>
      </c>
      <c r="E8" s="139">
        <f>J8*C28/100</f>
        <v>4421.8349601587015</v>
      </c>
      <c r="F8" s="135">
        <f>'[1]OECD Emp'!AV4</f>
        <v>5150</v>
      </c>
      <c r="G8" s="135">
        <f>'[1]OECD Emp'!AX4</f>
        <v>5470</v>
      </c>
      <c r="H8" s="140">
        <f>I8*H6/I6</f>
        <v>6.424482709926233</v>
      </c>
      <c r="I8" s="141">
        <f>J8*($I6/$K6)^(7/10)</f>
        <v>6.485721321170657</v>
      </c>
      <c r="J8" s="143">
        <f>M8*K8/N8</f>
        <v>6.848126003033455</v>
      </c>
      <c r="K8" s="136">
        <f>100*F8/F28</f>
        <v>8.06957066750235</v>
      </c>
      <c r="L8" s="136">
        <f>100*G8/G28</f>
        <v>8.566953797963977</v>
      </c>
      <c r="M8" s="142">
        <f>'[1]Data3.1.1'!B20</f>
        <v>7.948068397720077</v>
      </c>
      <c r="N8" s="137">
        <f>'[1]Data3.1.1'!C20</f>
        <v>9.365700861393892</v>
      </c>
      <c r="O8" s="60"/>
    </row>
    <row r="9" spans="1:15" ht="12.75" customHeight="1">
      <c r="A9" s="60" t="s">
        <v>118</v>
      </c>
      <c r="B9" s="138"/>
      <c r="C9" s="135">
        <f>'[1]OECD Emp'!AK5</f>
        <v>2447</v>
      </c>
      <c r="D9" s="135">
        <f>'[1]OECD Emp'!AL5</f>
        <v>2497</v>
      </c>
      <c r="E9" s="135">
        <f>'[1]OECD Emp'!AS5</f>
        <v>2859</v>
      </c>
      <c r="F9" s="135">
        <f>'[1]OECD Emp'!AV5</f>
        <v>3236.139</v>
      </c>
      <c r="G9" s="135">
        <f>'[1]OECD Emp'!AX5</f>
        <v>3213.993</v>
      </c>
      <c r="H9" s="136">
        <f aca="true" t="shared" si="2" ref="H9:K15">100*C9/C29</f>
        <v>9.600219702616815</v>
      </c>
      <c r="I9" s="136">
        <f t="shared" si="2"/>
        <v>9.705756598126483</v>
      </c>
      <c r="J9" s="136">
        <f t="shared" si="2"/>
        <v>10.323908568952444</v>
      </c>
      <c r="K9" s="136">
        <f>100*F9/F29</f>
        <v>11.241785268891537</v>
      </c>
      <c r="L9" s="136">
        <f>100*G9/G29</f>
        <v>10.966115516370733</v>
      </c>
      <c r="M9" s="136">
        <f>'[1]Data3.1.1'!B30</f>
        <v>10.734042135823296</v>
      </c>
      <c r="N9" s="137">
        <f>'[1]Data3.1.1'!C30</f>
        <v>12.41691801667781</v>
      </c>
      <c r="O9" s="60"/>
    </row>
    <row r="10" spans="1:15" ht="12.75" customHeight="1">
      <c r="A10" s="60" t="s">
        <v>119</v>
      </c>
      <c r="B10" s="138"/>
      <c r="C10" s="135">
        <f>'[1]OECD Emp'!AK6</f>
        <v>2048</v>
      </c>
      <c r="D10" s="135">
        <f>'[1]OECD Emp'!AL6</f>
        <v>2069</v>
      </c>
      <c r="E10" s="135">
        <f>'[1]OECD Emp'!AS6</f>
        <v>2304</v>
      </c>
      <c r="F10" s="135">
        <f>'[1]OECD Emp'!AV6</f>
        <v>2433</v>
      </c>
      <c r="G10" s="139">
        <f>L10*G30/100</f>
        <v>2542.2266206512595</v>
      </c>
      <c r="H10" s="136">
        <f t="shared" si="2"/>
        <v>9.083248325719607</v>
      </c>
      <c r="I10" s="136">
        <f t="shared" si="2"/>
        <v>9.1386925795053</v>
      </c>
      <c r="J10" s="136">
        <f t="shared" si="2"/>
        <v>9.21968787515006</v>
      </c>
      <c r="K10" s="136">
        <f t="shared" si="2"/>
        <v>9.56142419240745</v>
      </c>
      <c r="L10" s="143">
        <f>K10*(K10/J10)^(2/3)</f>
        <v>9.796256871223688</v>
      </c>
      <c r="M10" s="136">
        <f>'[1]Data3.1.1'!B22</f>
        <v>9.327746401894698</v>
      </c>
      <c r="N10" s="137">
        <f>'[1]Data3.1.1'!C22</f>
        <v>9.831892022953205</v>
      </c>
      <c r="O10" s="60"/>
    </row>
    <row r="11" spans="1:15" ht="12.75" customHeight="1">
      <c r="A11" s="60" t="s">
        <v>21</v>
      </c>
      <c r="B11" s="138"/>
      <c r="C11" s="135">
        <f>'[1]OECD Emp'!AK7</f>
        <v>1049.3</v>
      </c>
      <c r="D11" s="135">
        <f>'[1]OECD Emp'!AL7</f>
        <v>1066</v>
      </c>
      <c r="E11" s="135">
        <f>'[1]OECD Emp'!AS7</f>
        <v>1151</v>
      </c>
      <c r="F11" s="135">
        <f>'[1]OECD Emp'!AV7</f>
        <v>1335</v>
      </c>
      <c r="G11" s="135">
        <f>'[1]OECD Emp'!AX7</f>
        <v>1417</v>
      </c>
      <c r="H11" s="136">
        <f t="shared" si="2"/>
        <v>5.285799922423217</v>
      </c>
      <c r="I11" s="136">
        <f t="shared" si="2"/>
        <v>5.343170916308701</v>
      </c>
      <c r="J11" s="136">
        <f t="shared" si="2"/>
        <v>5.274493630281367</v>
      </c>
      <c r="K11" s="136">
        <f t="shared" si="2"/>
        <v>5.871228780015833</v>
      </c>
      <c r="L11" s="136">
        <f>100*G11/G31</f>
        <v>6.118307426597582</v>
      </c>
      <c r="M11" s="136">
        <f>'[1]Data3.1.1'!B17</f>
        <v>6.213698850956865</v>
      </c>
      <c r="N11" s="137">
        <f>'[1]Data3.1.1'!C17</f>
        <v>7.16321243523316</v>
      </c>
      <c r="O11" s="60"/>
    </row>
    <row r="12" spans="1:15" ht="12.75" customHeight="1">
      <c r="A12" s="60" t="s">
        <v>22</v>
      </c>
      <c r="B12" s="138"/>
      <c r="C12" s="135">
        <f>'[1]OECD Emp'!AK8</f>
        <v>1210.1</v>
      </c>
      <c r="D12" s="135">
        <f>'[1]OECD Emp'!AL8</f>
        <v>1234.7</v>
      </c>
      <c r="E12" s="135">
        <f>'[1]OECD Emp'!AS8</f>
        <v>1452.6</v>
      </c>
      <c r="F12" s="135">
        <f>'[1]OECD Emp'!AV8</f>
        <v>1567.5</v>
      </c>
      <c r="G12" s="135">
        <f>'[1]OECD Emp'!AX8</f>
        <v>1666.6</v>
      </c>
      <c r="H12" s="136">
        <f t="shared" si="2"/>
        <v>9.101644177685515</v>
      </c>
      <c r="I12" s="136">
        <f t="shared" si="2"/>
        <v>9.199487385816681</v>
      </c>
      <c r="J12" s="136">
        <f t="shared" si="2"/>
        <v>9.268582148121208</v>
      </c>
      <c r="K12" s="136">
        <f t="shared" si="2"/>
        <v>9.509048003251579</v>
      </c>
      <c r="L12" s="136">
        <f>100*G12/G32</f>
        <v>9.73151619194432</v>
      </c>
      <c r="M12" s="136">
        <f>'[1]Data3.1.1'!B26</f>
        <v>10.444213788227506</v>
      </c>
      <c r="N12" s="137">
        <f>'[1]Data3.1.1'!C26</f>
        <v>11.114225320860923</v>
      </c>
      <c r="O12" s="60"/>
    </row>
    <row r="13" spans="1:15" ht="12.75" customHeight="1">
      <c r="A13" s="60" t="s">
        <v>23</v>
      </c>
      <c r="B13" s="138"/>
      <c r="C13" s="139">
        <f>H13*C33/100</f>
        <v>361.9220532319391</v>
      </c>
      <c r="D13" s="135">
        <f>'[1]OECD Emp'!AL9</f>
        <v>361</v>
      </c>
      <c r="E13" s="135">
        <f>'[1]OECD Emp'!AS9</f>
        <v>426</v>
      </c>
      <c r="F13" s="135">
        <f>'[1]OECD Emp'!AV9</f>
        <v>451</v>
      </c>
      <c r="G13" s="135">
        <f>'[1]OECD Emp'!AX9</f>
        <v>482</v>
      </c>
      <c r="H13" s="143">
        <f>M13</f>
        <v>17.680608365019012</v>
      </c>
      <c r="I13" s="136">
        <f t="shared" si="2"/>
        <v>17.157794676806084</v>
      </c>
      <c r="J13" s="136">
        <f t="shared" si="2"/>
        <v>18.933333333333334</v>
      </c>
      <c r="K13" s="136">
        <f t="shared" si="2"/>
        <v>19.232409381663114</v>
      </c>
      <c r="L13" s="136">
        <f>100*G13/G33</f>
        <v>19.233838786911413</v>
      </c>
      <c r="M13" s="136">
        <f>'[1]Data3.1.1'!B37</f>
        <v>17.680608365019012</v>
      </c>
      <c r="N13" s="137">
        <f>'[1]Data3.1.1'!C37</f>
        <v>20.03192338387869</v>
      </c>
      <c r="O13" s="60"/>
    </row>
    <row r="14" spans="1:15" ht="12.75" customHeight="1">
      <c r="A14" s="60" t="s">
        <v>24</v>
      </c>
      <c r="B14" s="138"/>
      <c r="C14" s="135">
        <f>'[1]OECD Emp'!AK10</f>
        <v>373.6</v>
      </c>
      <c r="D14" s="135">
        <f>'[1]OECD Emp'!AL10</f>
        <v>388.6</v>
      </c>
      <c r="E14" s="135">
        <f>'[1]OECD Emp'!AS10</f>
        <v>462.5</v>
      </c>
      <c r="F14" s="135">
        <f>'[1]OECD Emp'!AV10</f>
        <v>496.6</v>
      </c>
      <c r="G14" s="135">
        <f>'[1]OECD Emp'!AX10</f>
        <v>522.8</v>
      </c>
      <c r="H14" s="136">
        <f>100*C14/C34</f>
        <v>9.45296290673549</v>
      </c>
      <c r="I14" s="136">
        <f t="shared" si="2"/>
        <v>9.838472834067547</v>
      </c>
      <c r="J14" s="136">
        <f t="shared" si="2"/>
        <v>11.12956011165656</v>
      </c>
      <c r="K14" s="136">
        <f t="shared" si="2"/>
        <v>11.53944463808528</v>
      </c>
      <c r="L14" s="136">
        <f>100*G14/G34</f>
        <v>11.629407184962739</v>
      </c>
      <c r="M14" s="136">
        <f>'[1]Data3.1.1'!B28</f>
        <v>9.453680508110024</v>
      </c>
      <c r="N14" s="137">
        <f>'[1]Data3.1.1'!C28</f>
        <v>11.60308054242404</v>
      </c>
      <c r="O14" s="60"/>
    </row>
    <row r="15" spans="1:15" ht="12.75" customHeight="1">
      <c r="A15" s="60" t="s">
        <v>25</v>
      </c>
      <c r="B15" s="138"/>
      <c r="C15" s="139">
        <f>H15*C35/100</f>
        <v>931.2527566948303</v>
      </c>
      <c r="D15" s="135">
        <f>'[1]OECD Emp'!AL11</f>
        <v>887</v>
      </c>
      <c r="E15" s="135">
        <f>'[1]OECD Emp'!AS11</f>
        <v>1046.9</v>
      </c>
      <c r="F15" s="135">
        <f>'[1]OECD Emp'!AV11</f>
        <v>1156.8</v>
      </c>
      <c r="G15" s="135">
        <f>'[1]OECD Emp'!AX11</f>
        <v>1238.7</v>
      </c>
      <c r="H15" s="143">
        <f>M15</f>
        <v>13.618788486323929</v>
      </c>
      <c r="I15" s="136">
        <f t="shared" si="2"/>
        <v>12.702276958327367</v>
      </c>
      <c r="J15" s="136">
        <f t="shared" si="2"/>
        <v>12.884447343482703</v>
      </c>
      <c r="K15" s="136">
        <f t="shared" si="2"/>
        <v>14.003316829885364</v>
      </c>
      <c r="L15" s="136">
        <f>100*G15/G35</f>
        <v>14.415724975851594</v>
      </c>
      <c r="M15" s="136">
        <f>'[1]Data3.1.1'!B35</f>
        <v>13.618788486323929</v>
      </c>
      <c r="N15" s="137">
        <f>'[1]Data3.1.1'!C35</f>
        <v>15.935619770270112</v>
      </c>
      <c r="O15" s="60"/>
    </row>
    <row r="16" spans="1:15" ht="12.75" customHeight="1">
      <c r="A16" s="60" t="s">
        <v>120</v>
      </c>
      <c r="B16" s="138"/>
      <c r="C16" s="144">
        <f>'[1]NIPATable 6.4C Employment'!K73+'[1]NIPATable 6.4C Employment'!K77</f>
        <v>11722</v>
      </c>
      <c r="D16" s="144">
        <f>'[1]NIPATable 6.4C Employment'!L73+'[1]NIPATable 6.4C Employment'!L77</f>
        <v>12004</v>
      </c>
      <c r="E16" s="135">
        <f>'[1]NIPATable 6.4D Employment'!H79</f>
        <v>14050</v>
      </c>
      <c r="F16" s="135">
        <f>'[1]NIPATable 6.4D Employment'!K79</f>
        <v>15080</v>
      </c>
      <c r="G16" s="135">
        <f>'[1]NIPATable 6.4D Employment'!M79</f>
        <v>15935</v>
      </c>
      <c r="H16" s="136">
        <f>100*C16/C27</f>
        <v>9.385108086469176</v>
      </c>
      <c r="I16" s="136">
        <f>100*D16/D27</f>
        <v>9.473750670833727</v>
      </c>
      <c r="J16" s="143">
        <f>K16*J7/K7</f>
        <v>10.427729384021303</v>
      </c>
      <c r="K16" s="136">
        <f>100*F16/F27</f>
        <v>10.441260983057184</v>
      </c>
      <c r="L16" s="136">
        <f>100*G16/G27</f>
        <v>10.962287255266164</v>
      </c>
      <c r="M16" s="145" t="s">
        <v>121</v>
      </c>
      <c r="N16" s="146" t="s">
        <v>121</v>
      </c>
      <c r="O16" s="60"/>
    </row>
    <row r="17" spans="1:15" ht="15" customHeight="1">
      <c r="A17" s="147" t="s">
        <v>27</v>
      </c>
      <c r="B17" s="148"/>
      <c r="C17" s="149" t="s">
        <v>28</v>
      </c>
      <c r="D17" s="150"/>
      <c r="E17" s="150"/>
      <c r="F17" s="150"/>
      <c r="G17" s="151"/>
      <c r="H17" s="149" t="s">
        <v>29</v>
      </c>
      <c r="I17" s="150"/>
      <c r="J17" s="150"/>
      <c r="K17" s="150"/>
      <c r="L17" s="151"/>
      <c r="M17" s="149" t="s">
        <v>30</v>
      </c>
      <c r="N17" s="150"/>
      <c r="O17" s="60"/>
    </row>
    <row r="18" spans="1:11" s="45" customFormat="1" ht="18" customHeight="1">
      <c r="A18" s="41" t="s">
        <v>34</v>
      </c>
      <c r="B18" s="42">
        <v>40395</v>
      </c>
      <c r="C18" s="42"/>
      <c r="D18" s="42"/>
      <c r="E18" s="42"/>
      <c r="F18" s="42"/>
      <c r="G18" s="43"/>
      <c r="H18" s="44"/>
      <c r="I18" s="44"/>
      <c r="J18" s="44"/>
      <c r="K18" s="44"/>
    </row>
    <row r="19" spans="1:15" s="45" customFormat="1" ht="18" customHeight="1">
      <c r="A19" s="46" t="s">
        <v>35</v>
      </c>
      <c r="B19" s="47" t="s">
        <v>36</v>
      </c>
      <c r="C19" s="47"/>
      <c r="D19" s="47"/>
      <c r="E19" s="47"/>
      <c r="F19" s="47"/>
      <c r="G19" s="47"/>
      <c r="H19" s="47"/>
      <c r="I19" s="47"/>
      <c r="J19" s="47"/>
      <c r="K19" s="47"/>
      <c r="L19" s="47"/>
      <c r="M19" s="47"/>
      <c r="N19" s="47"/>
      <c r="O19" s="47"/>
    </row>
    <row r="20" spans="1:14" ht="18" customHeight="1">
      <c r="A20" s="57" t="s">
        <v>27</v>
      </c>
      <c r="B20" s="49"/>
      <c r="C20" s="49"/>
      <c r="D20" s="49"/>
      <c r="E20" s="49"/>
      <c r="F20" s="49"/>
      <c r="G20" s="49"/>
      <c r="H20" s="49"/>
      <c r="I20" s="49"/>
      <c r="J20" s="49"/>
      <c r="K20" s="49"/>
      <c r="L20" s="49"/>
      <c r="M20" s="49"/>
      <c r="N20" s="49"/>
    </row>
    <row r="21" spans="1:22" ht="48" customHeight="1">
      <c r="A21" s="152" t="str">
        <f>C17</f>
        <v>[A]</v>
      </c>
      <c r="B21" s="153" t="s">
        <v>122</v>
      </c>
      <c r="C21" s="153"/>
      <c r="D21" s="153"/>
      <c r="E21" s="153"/>
      <c r="F21" s="153"/>
      <c r="G21" s="153"/>
      <c r="H21" s="153"/>
      <c r="I21" s="153"/>
      <c r="J21" s="153"/>
      <c r="K21" s="153"/>
      <c r="L21" s="153"/>
      <c r="M21" s="153"/>
      <c r="N21" s="153"/>
      <c r="O21" s="154"/>
      <c r="P21" s="154"/>
      <c r="Q21" s="154"/>
      <c r="R21" s="154"/>
      <c r="S21" s="154"/>
      <c r="T21" s="154"/>
      <c r="U21" s="154"/>
      <c r="V21" s="154"/>
    </row>
    <row r="22" spans="1:22" ht="18" customHeight="1">
      <c r="A22" s="152" t="str">
        <f>H17</f>
        <v>[B]</v>
      </c>
      <c r="B22" s="153" t="s">
        <v>123</v>
      </c>
      <c r="C22" s="153"/>
      <c r="D22" s="153"/>
      <c r="E22" s="153"/>
      <c r="F22" s="153"/>
      <c r="G22" s="153"/>
      <c r="H22" s="153"/>
      <c r="I22" s="153"/>
      <c r="J22" s="153"/>
      <c r="K22" s="153"/>
      <c r="L22" s="153"/>
      <c r="M22" s="153"/>
      <c r="N22" s="153"/>
      <c r="O22" s="155"/>
      <c r="P22" s="155"/>
      <c r="Q22" s="155"/>
      <c r="R22" s="155"/>
      <c r="S22" s="155"/>
      <c r="T22" s="155"/>
      <c r="U22" s="155"/>
      <c r="V22" s="155"/>
    </row>
    <row r="23" spans="1:22" ht="24.75" customHeight="1">
      <c r="A23" s="156" t="str">
        <f>M17</f>
        <v>[C]</v>
      </c>
      <c r="B23" s="157" t="s">
        <v>124</v>
      </c>
      <c r="C23" s="157"/>
      <c r="D23" s="157"/>
      <c r="E23" s="157"/>
      <c r="F23" s="157"/>
      <c r="G23" s="157"/>
      <c r="H23" s="157"/>
      <c r="I23" s="157"/>
      <c r="J23" s="157"/>
      <c r="K23" s="157"/>
      <c r="L23" s="157"/>
      <c r="M23" s="157"/>
      <c r="N23" s="157"/>
      <c r="O23" s="154"/>
      <c r="P23" s="154"/>
      <c r="Q23" s="154"/>
      <c r="R23" s="154"/>
      <c r="S23" s="154"/>
      <c r="T23" s="154"/>
      <c r="U23" s="154"/>
      <c r="V23" s="154"/>
    </row>
    <row r="24" spans="1:14" ht="18" customHeight="1">
      <c r="A24" s="57" t="s">
        <v>44</v>
      </c>
      <c r="B24" s="49"/>
      <c r="C24" s="49"/>
      <c r="D24" s="49"/>
      <c r="E24" s="49"/>
      <c r="F24" s="49"/>
      <c r="G24" s="49"/>
      <c r="H24" s="49"/>
      <c r="I24" s="49"/>
      <c r="J24" s="49"/>
      <c r="K24" s="49"/>
      <c r="L24" s="49"/>
      <c r="M24" s="49"/>
      <c r="N24" s="49"/>
    </row>
    <row r="25" spans="1:14" ht="18" customHeight="1">
      <c r="A25" s="58" t="s">
        <v>45</v>
      </c>
      <c r="B25" s="59" t="s">
        <v>125</v>
      </c>
      <c r="C25" s="59"/>
      <c r="D25" s="59"/>
      <c r="E25" s="59"/>
      <c r="F25" s="59"/>
      <c r="G25" s="59"/>
      <c r="H25" s="60"/>
      <c r="I25" s="60"/>
      <c r="J25" s="60"/>
      <c r="K25" s="60"/>
      <c r="L25" s="60"/>
      <c r="M25" s="60"/>
      <c r="N25" s="60"/>
    </row>
    <row r="26" spans="2:7" ht="18" customHeight="1">
      <c r="B26" s="158"/>
      <c r="C26" s="159">
        <v>1995</v>
      </c>
      <c r="D26" s="160">
        <v>1996</v>
      </c>
      <c r="E26" s="160">
        <v>2003</v>
      </c>
      <c r="F26" s="160">
        <v>2006</v>
      </c>
      <c r="G26" s="161">
        <v>2008</v>
      </c>
    </row>
    <row r="27" spans="2:7" ht="12.75" customHeight="1">
      <c r="B27" s="162" t="s">
        <v>117</v>
      </c>
      <c r="C27" s="135">
        <f>'[1]OECD Emp'!AK15</f>
        <v>124900</v>
      </c>
      <c r="D27" s="135">
        <f>'[1]OECD Emp'!AL15</f>
        <v>126708</v>
      </c>
      <c r="E27" s="135">
        <f>'[1]OECD Emp'!AS15</f>
        <v>137736</v>
      </c>
      <c r="F27" s="135">
        <f>'[1]OECD Emp'!AV15</f>
        <v>144427</v>
      </c>
      <c r="G27" s="163">
        <f>'[1]OECD Emp'!AX15</f>
        <v>145362</v>
      </c>
    </row>
    <row r="28" spans="2:7" ht="12.75" customHeight="1">
      <c r="B28" s="138" t="s">
        <v>18</v>
      </c>
      <c r="C28" s="135">
        <f>'[1]OECD Emp'!AK16</f>
        <v>64570</v>
      </c>
      <c r="D28" s="135">
        <f>'[1]OECD Emp'!AL16</f>
        <v>64860</v>
      </c>
      <c r="E28" s="135">
        <f>'[1]OECD Emp'!AS16</f>
        <v>63160</v>
      </c>
      <c r="F28" s="135">
        <f>'[1]OECD Emp'!AV16</f>
        <v>63820</v>
      </c>
      <c r="G28" s="163">
        <f>'[1]OECD Emp'!AX16</f>
        <v>63850</v>
      </c>
    </row>
    <row r="29" spans="2:7" ht="12.75" customHeight="1">
      <c r="B29" s="138" t="s">
        <v>118</v>
      </c>
      <c r="C29" s="135">
        <f>'[1]OECD Emp'!AK17</f>
        <v>25489</v>
      </c>
      <c r="D29" s="135">
        <f>'[1]OECD Emp'!AL17</f>
        <v>25727</v>
      </c>
      <c r="E29" s="135">
        <f>'[1]OECD Emp'!AS17</f>
        <v>27693</v>
      </c>
      <c r="F29" s="135">
        <f>'[1]OECD Emp'!AV17</f>
        <v>28786.7</v>
      </c>
      <c r="G29" s="163">
        <f>'[1]OECD Emp'!AX17</f>
        <v>29308.4</v>
      </c>
    </row>
    <row r="30" spans="2:7" ht="12.75" customHeight="1">
      <c r="B30" s="138" t="s">
        <v>119</v>
      </c>
      <c r="C30" s="135">
        <f>'[1]OECD Emp'!AK18</f>
        <v>22547</v>
      </c>
      <c r="D30" s="135">
        <f>'[1]OECD Emp'!AL18</f>
        <v>22640</v>
      </c>
      <c r="E30" s="135">
        <f>'[1]OECD Emp'!AS18</f>
        <v>24990</v>
      </c>
      <c r="F30" s="135">
        <f>'[1]OECD Emp'!AV18</f>
        <v>25446</v>
      </c>
      <c r="G30" s="163">
        <f>'[1]OECD Emp'!AX18</f>
        <v>25951</v>
      </c>
    </row>
    <row r="31" spans="2:7" ht="12.75" customHeight="1">
      <c r="B31" s="138" t="s">
        <v>21</v>
      </c>
      <c r="C31" s="135">
        <f>'[1]OECD Emp'!AK19</f>
        <v>19851.3</v>
      </c>
      <c r="D31" s="135">
        <f>'[1]OECD Emp'!AL19</f>
        <v>19950.7</v>
      </c>
      <c r="E31" s="135">
        <f>'[1]OECD Emp'!AS19</f>
        <v>21822</v>
      </c>
      <c r="F31" s="135">
        <f>'[1]OECD Emp'!AV19</f>
        <v>22738</v>
      </c>
      <c r="G31" s="163">
        <f>'[1]OECD Emp'!AX19</f>
        <v>23160</v>
      </c>
    </row>
    <row r="32" spans="2:7" ht="12.75" customHeight="1">
      <c r="B32" s="138" t="s">
        <v>22</v>
      </c>
      <c r="C32" s="135">
        <f>'[1]OECD Emp'!AK20</f>
        <v>13295.4</v>
      </c>
      <c r="D32" s="135">
        <f>'[1]OECD Emp'!AL20</f>
        <v>13421.4</v>
      </c>
      <c r="E32" s="135">
        <f>'[1]OECD Emp'!AS20</f>
        <v>15672.3</v>
      </c>
      <c r="F32" s="135">
        <f>'[1]OECD Emp'!AV20</f>
        <v>16484.3</v>
      </c>
      <c r="G32" s="163">
        <f>'[1]OECD Emp'!AX20</f>
        <v>17125.8</v>
      </c>
    </row>
    <row r="33" spans="2:7" ht="12.75" customHeight="1">
      <c r="B33" s="138" t="s">
        <v>23</v>
      </c>
      <c r="C33" s="135">
        <f>'[1]OECD Emp'!AK21</f>
        <v>2047</v>
      </c>
      <c r="D33" s="135">
        <f>'[1]OECD Emp'!AL21</f>
        <v>2104</v>
      </c>
      <c r="E33" s="135">
        <f>'[1]OECD Emp'!AS21</f>
        <v>2250</v>
      </c>
      <c r="F33" s="135">
        <f>'[1]OECD Emp'!AV21</f>
        <v>2345</v>
      </c>
      <c r="G33" s="163">
        <f>'[1]OECD Emp'!AX21</f>
        <v>2506</v>
      </c>
    </row>
    <row r="34" spans="2:7" ht="12.75" customHeight="1">
      <c r="B34" s="138" t="s">
        <v>24</v>
      </c>
      <c r="C34" s="135">
        <f>'[1]OECD Emp'!AK22</f>
        <v>3952.2</v>
      </c>
      <c r="D34" s="135">
        <f>'[1]OECD Emp'!AL22</f>
        <v>3949.8</v>
      </c>
      <c r="E34" s="135">
        <f>'[1]OECD Emp'!AS22</f>
        <v>4155.6</v>
      </c>
      <c r="F34" s="135">
        <f>'[1]OECD Emp'!AV22</f>
        <v>4303.5</v>
      </c>
      <c r="G34" s="163">
        <f>'[1]OECD Emp'!AX22</f>
        <v>4495.5</v>
      </c>
    </row>
    <row r="35" spans="2:7" ht="12.75" customHeight="1">
      <c r="B35" s="138" t="s">
        <v>25</v>
      </c>
      <c r="C35" s="135">
        <f>'[1]OECD Emp'!AK23</f>
        <v>6838</v>
      </c>
      <c r="D35" s="135">
        <f>'[1]OECD Emp'!AL23</f>
        <v>6983</v>
      </c>
      <c r="E35" s="135">
        <f>'[1]OECD Emp'!AS23</f>
        <v>8125.3</v>
      </c>
      <c r="F35" s="135">
        <f>'[1]OECD Emp'!AV23</f>
        <v>8260.9</v>
      </c>
      <c r="G35" s="163">
        <f>'[1]OECD Emp'!AX23</f>
        <v>8592.7</v>
      </c>
    </row>
    <row r="36" spans="2:7" ht="12.75" customHeight="1">
      <c r="B36" s="164" t="s">
        <v>120</v>
      </c>
      <c r="C36" s="135">
        <f>C27</f>
        <v>124900</v>
      </c>
      <c r="D36" s="135">
        <f>D27</f>
        <v>126708</v>
      </c>
      <c r="E36" s="135">
        <f>E27</f>
        <v>137736</v>
      </c>
      <c r="F36" s="135">
        <f>F27</f>
        <v>144427</v>
      </c>
      <c r="G36" s="163">
        <f>G27</f>
        <v>145362</v>
      </c>
    </row>
    <row r="37" spans="2:7" ht="18" customHeight="1">
      <c r="B37" s="165" t="s">
        <v>27</v>
      </c>
      <c r="C37" s="166" t="s">
        <v>58</v>
      </c>
      <c r="D37" s="166"/>
      <c r="E37" s="166"/>
      <c r="F37" s="166"/>
      <c r="G37" s="166"/>
    </row>
    <row r="38" spans="2:7" ht="18" customHeight="1">
      <c r="B38" s="167" t="str">
        <f>C37</f>
        <v>[P1a]</v>
      </c>
      <c r="C38" s="50" t="s">
        <v>126</v>
      </c>
      <c r="D38" s="168"/>
      <c r="E38" s="168"/>
      <c r="F38" s="168"/>
      <c r="G38" s="168"/>
    </row>
    <row r="39" spans="1:14" ht="18" customHeight="1">
      <c r="A39" s="57" t="s">
        <v>93</v>
      </c>
      <c r="B39" s="49"/>
      <c r="C39" s="49"/>
      <c r="D39" s="49"/>
      <c r="E39" s="49"/>
      <c r="F39" s="49"/>
      <c r="G39" s="49"/>
      <c r="H39" s="49"/>
      <c r="I39" s="49"/>
      <c r="J39" s="49"/>
      <c r="K39" s="49"/>
      <c r="L39" s="49"/>
      <c r="M39" s="49"/>
      <c r="N39" s="49"/>
    </row>
    <row r="40" spans="1:22" ht="24.75" customHeight="1">
      <c r="A40" s="152" t="s">
        <v>94</v>
      </c>
      <c r="B40" s="169" t="s">
        <v>127</v>
      </c>
      <c r="C40" s="169"/>
      <c r="D40" s="169"/>
      <c r="E40" s="169"/>
      <c r="F40" s="169"/>
      <c r="G40" s="169"/>
      <c r="H40" s="169"/>
      <c r="I40" s="169"/>
      <c r="J40" s="169"/>
      <c r="K40" s="169"/>
      <c r="L40" s="169"/>
      <c r="M40" s="169"/>
      <c r="N40" s="169"/>
      <c r="O40" s="170"/>
      <c r="P40" s="170"/>
      <c r="Q40" s="170"/>
      <c r="R40" s="170"/>
      <c r="S40" s="170"/>
      <c r="T40" s="170"/>
      <c r="U40" s="170"/>
      <c r="V40" s="170"/>
    </row>
    <row r="41" spans="1:22" ht="24.75" customHeight="1">
      <c r="A41" s="152" t="s">
        <v>96</v>
      </c>
      <c r="B41" s="169" t="s">
        <v>128</v>
      </c>
      <c r="C41" s="169"/>
      <c r="D41" s="169"/>
      <c r="E41" s="169"/>
      <c r="F41" s="169"/>
      <c r="G41" s="169"/>
      <c r="H41" s="169"/>
      <c r="I41" s="169"/>
      <c r="J41" s="169"/>
      <c r="K41" s="169"/>
      <c r="L41" s="169"/>
      <c r="M41" s="169"/>
      <c r="N41" s="169"/>
      <c r="O41" s="170"/>
      <c r="P41" s="170"/>
      <c r="Q41" s="170"/>
      <c r="R41" s="170"/>
      <c r="S41" s="170"/>
      <c r="T41" s="170"/>
      <c r="U41" s="170"/>
      <c r="V41" s="170"/>
    </row>
    <row r="42" spans="1:22" ht="24.75" customHeight="1">
      <c r="A42" s="152" t="s">
        <v>98</v>
      </c>
      <c r="B42" s="169" t="s">
        <v>129</v>
      </c>
      <c r="C42" s="169"/>
      <c r="D42" s="169"/>
      <c r="E42" s="169"/>
      <c r="F42" s="169"/>
      <c r="G42" s="169"/>
      <c r="H42" s="169"/>
      <c r="I42" s="169"/>
      <c r="J42" s="169"/>
      <c r="K42" s="169"/>
      <c r="L42" s="169"/>
      <c r="M42" s="169"/>
      <c r="N42" s="169"/>
      <c r="O42" s="170"/>
      <c r="P42" s="170"/>
      <c r="Q42" s="170"/>
      <c r="R42" s="170"/>
      <c r="S42" s="170"/>
      <c r="T42" s="170"/>
      <c r="U42" s="170"/>
      <c r="V42" s="170"/>
    </row>
    <row r="43" spans="1:9" ht="18">
      <c r="A43" s="124" t="s">
        <v>130</v>
      </c>
      <c r="B43" s="124"/>
      <c r="C43" s="124"/>
      <c r="D43" s="124"/>
      <c r="E43" s="124"/>
      <c r="F43" s="124"/>
      <c r="G43" s="124"/>
      <c r="H43" s="124"/>
      <c r="I43" s="124"/>
    </row>
    <row r="45" spans="5:6" ht="11.25">
      <c r="E45" s="171"/>
      <c r="F45" s="171"/>
    </row>
    <row r="46" spans="5:6" ht="11.25">
      <c r="E46" s="171"/>
      <c r="F46" s="171"/>
    </row>
    <row r="47" spans="5:6" ht="11.25">
      <c r="E47" s="171"/>
      <c r="F47" s="171"/>
    </row>
    <row r="48" spans="5:6" ht="11.25">
      <c r="E48" s="171"/>
      <c r="F48" s="171"/>
    </row>
    <row r="49" spans="5:6" ht="11.25">
      <c r="E49" s="171"/>
      <c r="F49" s="171"/>
    </row>
    <row r="50" spans="5:6" ht="11.25">
      <c r="E50" s="171"/>
      <c r="F50" s="171"/>
    </row>
    <row r="51" spans="5:6" ht="11.25">
      <c r="E51" s="171"/>
      <c r="F51" s="171"/>
    </row>
    <row r="52" spans="5:6" ht="11.25">
      <c r="E52" s="171"/>
      <c r="F52" s="171"/>
    </row>
    <row r="53" spans="5:6" ht="11.25">
      <c r="E53" s="171"/>
      <c r="F53" s="171"/>
    </row>
    <row r="56" spans="4:6" ht="11.25">
      <c r="D56" s="171"/>
      <c r="E56" s="171"/>
      <c r="F56" s="171"/>
    </row>
    <row r="57" spans="4:6" ht="11.25">
      <c r="D57" s="171"/>
      <c r="E57" s="171"/>
      <c r="F57" s="171"/>
    </row>
    <row r="58" spans="4:6" ht="11.25">
      <c r="D58" s="171"/>
      <c r="E58" s="171"/>
      <c r="F58" s="171"/>
    </row>
    <row r="59" spans="4:6" ht="11.25">
      <c r="D59" s="171"/>
      <c r="E59" s="171"/>
      <c r="F59" s="171"/>
    </row>
    <row r="60" spans="4:6" ht="11.25">
      <c r="D60" s="171"/>
      <c r="E60" s="171"/>
      <c r="F60" s="171"/>
    </row>
    <row r="61" spans="4:6" ht="11.25">
      <c r="D61" s="171"/>
      <c r="E61" s="171"/>
      <c r="F61" s="171"/>
    </row>
    <row r="62" spans="4:6" ht="11.25">
      <c r="D62" s="171"/>
      <c r="E62" s="171"/>
      <c r="F62" s="171"/>
    </row>
    <row r="63" spans="4:6" ht="11.25">
      <c r="D63" s="171"/>
      <c r="E63" s="171"/>
      <c r="F63" s="171"/>
    </row>
    <row r="64" spans="4:6" ht="11.25">
      <c r="D64" s="171"/>
      <c r="E64" s="171"/>
      <c r="F64" s="171"/>
    </row>
  </sheetData>
  <sheetProtection/>
  <mergeCells count="23">
    <mergeCell ref="B42:N42"/>
    <mergeCell ref="O42:V42"/>
    <mergeCell ref="A43:I43"/>
    <mergeCell ref="B25:G25"/>
    <mergeCell ref="C37:G37"/>
    <mergeCell ref="B40:N40"/>
    <mergeCell ref="O40:V40"/>
    <mergeCell ref="B41:N41"/>
    <mergeCell ref="O41:V41"/>
    <mergeCell ref="B18:F18"/>
    <mergeCell ref="B19:O19"/>
    <mergeCell ref="B21:N21"/>
    <mergeCell ref="B22:N22"/>
    <mergeCell ref="O22:V22"/>
    <mergeCell ref="B23:N23"/>
    <mergeCell ref="A1:N1"/>
    <mergeCell ref="A2:B3"/>
    <mergeCell ref="C2:G2"/>
    <mergeCell ref="H2:L2"/>
    <mergeCell ref="M2:N2"/>
    <mergeCell ref="C17:G17"/>
    <mergeCell ref="H17:L17"/>
    <mergeCell ref="M17:N17"/>
  </mergeCells>
  <printOptions/>
  <pageMargins left="0.7" right="0.7" top="0.75" bottom="0.75" header="0.3" footer="0.3"/>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dimension ref="A1:P82"/>
  <sheetViews>
    <sheetView view="pageBreakPreview" zoomScaleSheetLayoutView="100" zoomScalePageLayoutView="0" workbookViewId="0" topLeftCell="A74">
      <selection activeCell="A82" sqref="A82:IV82"/>
    </sheetView>
  </sheetViews>
  <sheetFormatPr defaultColWidth="9.140625" defaultRowHeight="15"/>
  <cols>
    <col min="1" max="2" width="6.7109375" style="50" customWidth="1"/>
    <col min="3" max="10" width="10.7109375" style="50" customWidth="1"/>
    <col min="11" max="11" width="9.00390625" style="50" customWidth="1"/>
    <col min="12" max="12" width="9.140625" style="50" customWidth="1"/>
    <col min="13" max="13" width="11.140625" style="50" bestFit="1" customWidth="1"/>
    <col min="14" max="16384" width="9.140625" style="50" customWidth="1"/>
  </cols>
  <sheetData>
    <row r="1" spans="1:10" ht="24.75" customHeight="1">
      <c r="A1" s="172" t="s">
        <v>131</v>
      </c>
      <c r="B1" s="172"/>
      <c r="C1" s="173"/>
      <c r="D1" s="173"/>
      <c r="E1" s="173"/>
      <c r="F1" s="173"/>
      <c r="G1" s="173"/>
      <c r="H1" s="173"/>
      <c r="I1" s="173"/>
      <c r="J1" s="60"/>
    </row>
    <row r="2" spans="1:10" ht="18" customHeight="1">
      <c r="A2" s="174" t="s">
        <v>1</v>
      </c>
      <c r="B2" s="175"/>
      <c r="C2" s="149" t="s">
        <v>132</v>
      </c>
      <c r="D2" s="150"/>
      <c r="E2" s="150"/>
      <c r="F2" s="150"/>
      <c r="G2" s="150"/>
      <c r="H2" s="150"/>
      <c r="I2" s="150"/>
      <c r="J2" s="150"/>
    </row>
    <row r="3" spans="1:10" ht="36" customHeight="1">
      <c r="A3" s="176"/>
      <c r="B3" s="177"/>
      <c r="C3" s="178" t="s">
        <v>133</v>
      </c>
      <c r="D3" s="178"/>
      <c r="E3" s="178" t="s">
        <v>134</v>
      </c>
      <c r="F3" s="178"/>
      <c r="G3" s="178" t="s">
        <v>135</v>
      </c>
      <c r="H3" s="178"/>
      <c r="I3" s="179" t="s">
        <v>136</v>
      </c>
      <c r="J3" s="180"/>
    </row>
    <row r="4" spans="1:10" ht="23.25" customHeight="1">
      <c r="A4" s="181"/>
      <c r="B4" s="182"/>
      <c r="C4" s="183" t="s">
        <v>137</v>
      </c>
      <c r="D4" s="183" t="s">
        <v>138</v>
      </c>
      <c r="E4" s="183" t="s">
        <v>137</v>
      </c>
      <c r="F4" s="183" t="s">
        <v>138</v>
      </c>
      <c r="G4" s="183" t="s">
        <v>137</v>
      </c>
      <c r="H4" s="183" t="s">
        <v>138</v>
      </c>
      <c r="I4" s="183" t="s">
        <v>137</v>
      </c>
      <c r="J4" s="184" t="s">
        <v>138</v>
      </c>
    </row>
    <row r="5" spans="1:13" ht="12.75" customHeight="1">
      <c r="A5" s="185" t="s">
        <v>17</v>
      </c>
      <c r="B5" s="186"/>
      <c r="C5" s="187">
        <f aca="true" t="shared" si="0" ref="C5:C13">(I49*I29)/K49</f>
        <v>0.010386940695444477</v>
      </c>
      <c r="D5" s="188">
        <f aca="true" t="shared" si="1" ref="D5:D13">E$49*I29/G49</f>
        <v>0.010386940695444477</v>
      </c>
      <c r="E5" s="187">
        <f aca="true" t="shared" si="2" ref="E5:E13">(H49*F29)/K49</f>
        <v>0.010439788894233575</v>
      </c>
      <c r="F5" s="189">
        <f aca="true" t="shared" si="3" ref="F5:F13">((D$49)*F29)/G49</f>
        <v>0.010439788894233575</v>
      </c>
      <c r="G5" s="187">
        <f aca="true" t="shared" si="4" ref="G5:G13">(J49*D29)/K49</f>
        <v>0.04727407021071829</v>
      </c>
      <c r="H5" s="189">
        <f aca="true" t="shared" si="5" ref="H5:H13">(F$49*D29)/G49</f>
        <v>0.04727407021071829</v>
      </c>
      <c r="I5" s="190">
        <f aca="true" t="shared" si="6" ref="I5:J13">C5+E5+G5</f>
        <v>0.06810079980039635</v>
      </c>
      <c r="J5" s="190">
        <f t="shared" si="6"/>
        <v>0.06810079980039635</v>
      </c>
      <c r="M5" s="191"/>
    </row>
    <row r="6" spans="1:12" ht="12.75" customHeight="1">
      <c r="A6" s="192" t="s">
        <v>18</v>
      </c>
      <c r="B6" s="193"/>
      <c r="C6" s="194">
        <f t="shared" si="0"/>
        <v>0.00597162433318998</v>
      </c>
      <c r="D6" s="188">
        <f t="shared" si="1"/>
        <v>0.01255555170166661</v>
      </c>
      <c r="E6" s="194">
        <f t="shared" si="2"/>
        <v>0.011069595140432358</v>
      </c>
      <c r="F6" s="189">
        <f t="shared" si="3"/>
        <v>0.01459103995894483</v>
      </c>
      <c r="G6" s="194">
        <f t="shared" si="4"/>
        <v>0.03157110280231933</v>
      </c>
      <c r="H6" s="189">
        <f t="shared" si="5"/>
        <v>0.04161445985084186</v>
      </c>
      <c r="I6" s="195">
        <f t="shared" si="6"/>
        <v>0.04861232227594167</v>
      </c>
      <c r="J6" s="195">
        <f t="shared" si="6"/>
        <v>0.0687610515114533</v>
      </c>
      <c r="L6" s="196"/>
    </row>
    <row r="7" spans="1:10" ht="12.75" customHeight="1">
      <c r="A7" s="192" t="s">
        <v>19</v>
      </c>
      <c r="B7" s="193"/>
      <c r="C7" s="194">
        <f t="shared" si="0"/>
        <v>0.008695130696803973</v>
      </c>
      <c r="D7" s="188">
        <f t="shared" si="1"/>
        <v>0.01354261855682145</v>
      </c>
      <c r="E7" s="197">
        <f t="shared" si="2"/>
        <v>0.014008015852600883</v>
      </c>
      <c r="F7" s="189">
        <f t="shared" si="3"/>
        <v>0.014352900100576877</v>
      </c>
      <c r="G7" s="194">
        <f t="shared" si="4"/>
        <v>0.0541736693857908</v>
      </c>
      <c r="H7" s="189">
        <f t="shared" si="5"/>
        <v>0.055507451801717296</v>
      </c>
      <c r="I7" s="195">
        <f t="shared" si="6"/>
        <v>0.07687681593519566</v>
      </c>
      <c r="J7" s="195">
        <f t="shared" si="6"/>
        <v>0.08340297045911563</v>
      </c>
    </row>
    <row r="8" spans="1:10" ht="12.75" customHeight="1">
      <c r="A8" s="192" t="s">
        <v>20</v>
      </c>
      <c r="B8" s="193"/>
      <c r="C8" s="194">
        <f t="shared" si="0"/>
        <v>0.011323673334307545</v>
      </c>
      <c r="D8" s="188">
        <f t="shared" si="1"/>
        <v>0.02050850221446684</v>
      </c>
      <c r="E8" s="194">
        <f t="shared" si="2"/>
        <v>0.020688661469592976</v>
      </c>
      <c r="F8" s="189">
        <f t="shared" si="3"/>
        <v>0.02061284837698726</v>
      </c>
      <c r="G8" s="194">
        <f t="shared" si="4"/>
        <v>0.033724302739432416</v>
      </c>
      <c r="H8" s="189">
        <f t="shared" si="5"/>
        <v>0.03360072085906739</v>
      </c>
      <c r="I8" s="195">
        <f t="shared" si="6"/>
        <v>0.06573663754333293</v>
      </c>
      <c r="J8" s="195">
        <f t="shared" si="6"/>
        <v>0.07472207145052148</v>
      </c>
    </row>
    <row r="9" spans="1:10" ht="12.75" customHeight="1">
      <c r="A9" s="192" t="s">
        <v>21</v>
      </c>
      <c r="B9" s="193"/>
      <c r="C9" s="194">
        <f t="shared" si="0"/>
        <v>0.008717152385138002</v>
      </c>
      <c r="D9" s="188">
        <f t="shared" si="1"/>
        <v>0.023777352850290596</v>
      </c>
      <c r="E9" s="194">
        <f t="shared" si="2"/>
        <v>0.01595399007712702</v>
      </c>
      <c r="F9" s="189">
        <f t="shared" si="3"/>
        <v>0.023898330750035595</v>
      </c>
      <c r="G9" s="194">
        <f t="shared" si="4"/>
        <v>0.0053895658278297065</v>
      </c>
      <c r="H9" s="189">
        <f t="shared" si="5"/>
        <v>0.00807331746665836</v>
      </c>
      <c r="I9" s="195">
        <f t="shared" si="6"/>
        <v>0.03006070829009473</v>
      </c>
      <c r="J9" s="195">
        <f t="shared" si="6"/>
        <v>0.05574900106698455</v>
      </c>
    </row>
    <row r="10" spans="1:10" ht="12.75" customHeight="1">
      <c r="A10" s="192" t="s">
        <v>22</v>
      </c>
      <c r="B10" s="193"/>
      <c r="C10" s="194">
        <f t="shared" si="0"/>
        <v>0.007421196882579247</v>
      </c>
      <c r="D10" s="188">
        <f t="shared" si="1"/>
        <v>0.011177060026651076</v>
      </c>
      <c r="E10" s="194">
        <f t="shared" si="2"/>
        <v>0.01359611771028648</v>
      </c>
      <c r="F10" s="189">
        <f t="shared" si="3"/>
        <v>0.012268342705227853</v>
      </c>
      <c r="G10" s="194">
        <f t="shared" si="4"/>
        <v>0.05088582814724072</v>
      </c>
      <c r="H10" s="189">
        <f t="shared" si="5"/>
        <v>0.04591639994977101</v>
      </c>
      <c r="I10" s="195">
        <f t="shared" si="6"/>
        <v>0.07190314274010645</v>
      </c>
      <c r="J10" s="195">
        <f t="shared" si="6"/>
        <v>0.06936180268164993</v>
      </c>
    </row>
    <row r="11" spans="1:10" ht="12.75" customHeight="1">
      <c r="A11" s="192" t="s">
        <v>23</v>
      </c>
      <c r="B11" s="193"/>
      <c r="C11" s="194">
        <f t="shared" si="0"/>
        <v>0.004861181614814508</v>
      </c>
      <c r="D11" s="188">
        <f t="shared" si="1"/>
        <v>0.013824309413696364</v>
      </c>
      <c r="E11" s="197">
        <f t="shared" si="2"/>
        <v>0.012512325077093054</v>
      </c>
      <c r="F11" s="189">
        <f t="shared" si="3"/>
        <v>0.013702574042314605</v>
      </c>
      <c r="G11" s="194">
        <f t="shared" si="4"/>
        <v>0.06333148105019701</v>
      </c>
      <c r="H11" s="189">
        <f t="shared" si="5"/>
        <v>0.06935595926040172</v>
      </c>
      <c r="I11" s="195">
        <f t="shared" si="6"/>
        <v>0.08070498774210458</v>
      </c>
      <c r="J11" s="195">
        <f t="shared" si="6"/>
        <v>0.09688284271641269</v>
      </c>
    </row>
    <row r="12" spans="1:10" ht="12.75" customHeight="1">
      <c r="A12" s="192" t="s">
        <v>24</v>
      </c>
      <c r="B12" s="193"/>
      <c r="C12" s="194">
        <f t="shared" si="0"/>
        <v>0.011972558792990567</v>
      </c>
      <c r="D12" s="188">
        <f t="shared" si="1"/>
        <v>0.019146453013715387</v>
      </c>
      <c r="E12" s="194">
        <f t="shared" si="2"/>
        <v>0.016551311796611488</v>
      </c>
      <c r="F12" s="189">
        <f t="shared" si="3"/>
        <v>0.019306138443420735</v>
      </c>
      <c r="G12" s="194">
        <f t="shared" si="4"/>
        <v>0.048647164145070844</v>
      </c>
      <c r="H12" s="189">
        <f t="shared" si="5"/>
        <v>0.05674407547907041</v>
      </c>
      <c r="I12" s="195">
        <f t="shared" si="6"/>
        <v>0.0771710347346729</v>
      </c>
      <c r="J12" s="195">
        <f t="shared" si="6"/>
        <v>0.09519666693620654</v>
      </c>
    </row>
    <row r="13" spans="1:10" ht="12.75" customHeight="1">
      <c r="A13" s="192" t="s">
        <v>25</v>
      </c>
      <c r="B13" s="193"/>
      <c r="C13" s="194">
        <f t="shared" si="0"/>
        <v>0.016553425630362564</v>
      </c>
      <c r="D13" s="188">
        <f t="shared" si="1"/>
        <v>0.019720982307075124</v>
      </c>
      <c r="E13" s="194">
        <f t="shared" si="2"/>
        <v>0.028358058363994975</v>
      </c>
      <c r="F13" s="189">
        <f t="shared" si="3"/>
        <v>0.014029642405016404</v>
      </c>
      <c r="G13" s="194">
        <f t="shared" si="4"/>
        <v>0.1409213476283833</v>
      </c>
      <c r="H13" s="189">
        <f t="shared" si="5"/>
        <v>0.06971831742082292</v>
      </c>
      <c r="I13" s="195">
        <f t="shared" si="6"/>
        <v>0.18583283162274083</v>
      </c>
      <c r="J13" s="195">
        <f t="shared" si="6"/>
        <v>0.10346894213291445</v>
      </c>
    </row>
    <row r="14" spans="1:10" ht="18" customHeight="1">
      <c r="A14" s="198" t="s">
        <v>27</v>
      </c>
      <c r="B14" s="199"/>
      <c r="C14" s="133" t="s">
        <v>28</v>
      </c>
      <c r="D14" s="133" t="s">
        <v>29</v>
      </c>
      <c r="E14" s="133" t="s">
        <v>30</v>
      </c>
      <c r="F14" s="133" t="s">
        <v>31</v>
      </c>
      <c r="G14" s="133" t="s">
        <v>32</v>
      </c>
      <c r="H14" s="133" t="s">
        <v>33</v>
      </c>
      <c r="I14" s="149" t="s">
        <v>139</v>
      </c>
      <c r="J14" s="150"/>
    </row>
    <row r="15" spans="1:10" s="45" customFormat="1" ht="18" customHeight="1">
      <c r="A15" s="41" t="s">
        <v>34</v>
      </c>
      <c r="B15" s="42">
        <v>40368</v>
      </c>
      <c r="C15" s="42"/>
      <c r="D15" s="42"/>
      <c r="E15" s="42"/>
      <c r="F15" s="42"/>
      <c r="G15" s="43"/>
      <c r="H15" s="44"/>
      <c r="I15" s="44"/>
      <c r="J15" s="44"/>
    </row>
    <row r="16" spans="1:10" s="45" customFormat="1" ht="24.75" customHeight="1">
      <c r="A16" s="46" t="s">
        <v>35</v>
      </c>
      <c r="B16" s="47" t="s">
        <v>140</v>
      </c>
      <c r="C16" s="47"/>
      <c r="D16" s="47"/>
      <c r="E16" s="47"/>
      <c r="F16" s="47"/>
      <c r="G16" s="47"/>
      <c r="H16" s="47"/>
      <c r="I16" s="47"/>
      <c r="J16" s="47"/>
    </row>
    <row r="17" spans="1:10" ht="18" customHeight="1">
      <c r="A17" s="57" t="s">
        <v>27</v>
      </c>
      <c r="B17" s="49"/>
      <c r="C17" s="49"/>
      <c r="D17" s="49"/>
      <c r="E17" s="49"/>
      <c r="F17" s="49"/>
      <c r="G17" s="49"/>
      <c r="H17" s="49"/>
      <c r="I17" s="49"/>
      <c r="J17" s="49"/>
    </row>
    <row r="18" spans="1:16" ht="18" customHeight="1">
      <c r="A18" s="152" t="str">
        <f>C14</f>
        <v>[A]</v>
      </c>
      <c r="B18" s="153" t="s">
        <v>141</v>
      </c>
      <c r="C18" s="153"/>
      <c r="D18" s="153"/>
      <c r="E18" s="153"/>
      <c r="F18" s="153"/>
      <c r="G18" s="153"/>
      <c r="H18" s="153"/>
      <c r="I18" s="153"/>
      <c r="J18" s="153"/>
      <c r="K18" s="154"/>
      <c r="L18" s="154"/>
      <c r="M18" s="154"/>
      <c r="N18" s="154"/>
      <c r="O18" s="154"/>
      <c r="P18" s="154"/>
    </row>
    <row r="19" spans="1:16" ht="18" customHeight="1">
      <c r="A19" s="152" t="str">
        <f>D14</f>
        <v>[B]</v>
      </c>
      <c r="B19" s="200" t="s">
        <v>142</v>
      </c>
      <c r="C19" s="153"/>
      <c r="D19" s="153"/>
      <c r="E19" s="153"/>
      <c r="F19" s="153"/>
      <c r="G19" s="153"/>
      <c r="H19" s="153"/>
      <c r="I19" s="153"/>
      <c r="J19" s="153"/>
      <c r="K19" s="154"/>
      <c r="L19" s="154"/>
      <c r="M19" s="154"/>
      <c r="N19" s="154"/>
      <c r="O19" s="154"/>
      <c r="P19" s="154"/>
    </row>
    <row r="20" spans="1:16" ht="18" customHeight="1">
      <c r="A20" s="152" t="str">
        <f>E14</f>
        <v>[C]</v>
      </c>
      <c r="B20" s="200" t="s">
        <v>143</v>
      </c>
      <c r="C20" s="153"/>
      <c r="D20" s="153"/>
      <c r="E20" s="153"/>
      <c r="F20" s="153"/>
      <c r="G20" s="153"/>
      <c r="H20" s="153"/>
      <c r="I20" s="153"/>
      <c r="J20" s="153"/>
      <c r="K20" s="154"/>
      <c r="L20" s="154"/>
      <c r="M20" s="154"/>
      <c r="N20" s="154"/>
      <c r="O20" s="154"/>
      <c r="P20" s="154"/>
    </row>
    <row r="21" spans="1:16" ht="18" customHeight="1">
      <c r="A21" s="152" t="str">
        <f>F14</f>
        <v>[D]</v>
      </c>
      <c r="B21" s="200" t="s">
        <v>144</v>
      </c>
      <c r="C21" s="153"/>
      <c r="D21" s="153"/>
      <c r="E21" s="153"/>
      <c r="F21" s="153"/>
      <c r="G21" s="153"/>
      <c r="H21" s="153"/>
      <c r="I21" s="153"/>
      <c r="J21" s="153"/>
      <c r="K21" s="154"/>
      <c r="L21" s="154"/>
      <c r="M21" s="154"/>
      <c r="N21" s="154"/>
      <c r="O21" s="154"/>
      <c r="P21" s="154"/>
    </row>
    <row r="22" spans="1:16" ht="24.75" customHeight="1">
      <c r="A22" s="152" t="str">
        <f>G14</f>
        <v>[E]</v>
      </c>
      <c r="B22" s="200" t="s">
        <v>145</v>
      </c>
      <c r="C22" s="153"/>
      <c r="D22" s="153"/>
      <c r="E22" s="153"/>
      <c r="F22" s="153"/>
      <c r="G22" s="153"/>
      <c r="H22" s="153"/>
      <c r="I22" s="153"/>
      <c r="J22" s="153"/>
      <c r="K22" s="154"/>
      <c r="L22" s="154"/>
      <c r="M22" s="154"/>
      <c r="N22" s="154"/>
      <c r="O22" s="154"/>
      <c r="P22" s="154"/>
    </row>
    <row r="23" spans="1:16" ht="24.75" customHeight="1">
      <c r="A23" s="152" t="str">
        <f>H14</f>
        <v>[F]</v>
      </c>
      <c r="B23" s="200" t="s">
        <v>146</v>
      </c>
      <c r="C23" s="153"/>
      <c r="D23" s="153"/>
      <c r="E23" s="153"/>
      <c r="F23" s="153"/>
      <c r="G23" s="153"/>
      <c r="H23" s="153"/>
      <c r="I23" s="153"/>
      <c r="J23" s="153"/>
      <c r="K23" s="154"/>
      <c r="L23" s="154"/>
      <c r="M23" s="154"/>
      <c r="N23" s="154"/>
      <c r="O23" s="154"/>
      <c r="P23" s="154"/>
    </row>
    <row r="24" spans="1:16" ht="18" customHeight="1">
      <c r="A24" s="152" t="str">
        <f>I14</f>
        <v>[G]</v>
      </c>
      <c r="B24" s="153" t="s">
        <v>147</v>
      </c>
      <c r="C24" s="153"/>
      <c r="D24" s="153"/>
      <c r="E24" s="153"/>
      <c r="F24" s="153"/>
      <c r="G24" s="153"/>
      <c r="H24" s="153"/>
      <c r="I24" s="153"/>
      <c r="J24" s="153"/>
      <c r="K24" s="154"/>
      <c r="L24" s="154"/>
      <c r="M24" s="154"/>
      <c r="N24" s="154"/>
      <c r="O24" s="154"/>
      <c r="P24" s="154"/>
    </row>
    <row r="25" spans="1:10" ht="18" customHeight="1">
      <c r="A25" s="57" t="s">
        <v>44</v>
      </c>
      <c r="B25" s="49"/>
      <c r="C25" s="49"/>
      <c r="D25" s="49"/>
      <c r="E25" s="49"/>
      <c r="F25" s="49"/>
      <c r="G25" s="49"/>
      <c r="H25" s="49"/>
      <c r="I25" s="49"/>
      <c r="J25" s="49"/>
    </row>
    <row r="26" spans="1:10" ht="18" customHeight="1">
      <c r="A26" s="58" t="s">
        <v>45</v>
      </c>
      <c r="B26" s="59" t="s">
        <v>125</v>
      </c>
      <c r="C26" s="59"/>
      <c r="D26" s="59"/>
      <c r="E26" s="59"/>
      <c r="F26" s="59"/>
      <c r="G26" s="59"/>
      <c r="H26" s="60"/>
      <c r="I26" s="60"/>
      <c r="J26" s="60"/>
    </row>
    <row r="27" spans="2:10" ht="11.25" customHeight="1">
      <c r="B27" s="174" t="s">
        <v>47</v>
      </c>
      <c r="C27" s="175"/>
      <c r="D27" s="201" t="s">
        <v>148</v>
      </c>
      <c r="E27" s="179" t="s">
        <v>149</v>
      </c>
      <c r="F27" s="201" t="s">
        <v>150</v>
      </c>
      <c r="G27" s="201" t="s">
        <v>151</v>
      </c>
      <c r="H27" s="201" t="s">
        <v>152</v>
      </c>
      <c r="I27" s="179" t="s">
        <v>153</v>
      </c>
      <c r="J27" s="60"/>
    </row>
    <row r="28" spans="2:10" ht="48" customHeight="1">
      <c r="B28" s="181"/>
      <c r="C28" s="182"/>
      <c r="D28" s="202"/>
      <c r="E28" s="203"/>
      <c r="F28" s="202"/>
      <c r="G28" s="202"/>
      <c r="H28" s="202"/>
      <c r="I28" s="203"/>
      <c r="J28" s="60"/>
    </row>
    <row r="29" spans="2:9" ht="12.75" customHeight="1">
      <c r="B29" s="185" t="s">
        <v>17</v>
      </c>
      <c r="C29" s="186"/>
      <c r="D29" s="204">
        <f>'Table 10.3.1'!K4*1000-'Table 10.3.2'!F29</f>
        <v>13814974.108446453</v>
      </c>
      <c r="E29" s="205">
        <f>E38</f>
        <v>3.7639091263314572</v>
      </c>
      <c r="F29" s="206">
        <f>E29*I29</f>
        <v>2717687.1491563106</v>
      </c>
      <c r="G29" s="207">
        <v>89874</v>
      </c>
      <c r="H29" s="204">
        <f>'[1]OECD # Health Employees'!O11+'[1]OECD # Health Employees'!Q11</f>
        <v>319106</v>
      </c>
      <c r="I29" s="168">
        <f>'Table 10.3.1'!I4*1000</f>
        <v>722038.46</v>
      </c>
    </row>
    <row r="30" spans="2:10" ht="12.75" customHeight="1">
      <c r="B30" s="192" t="s">
        <v>18</v>
      </c>
      <c r="C30" s="193"/>
      <c r="D30" s="208">
        <f>'Table 10.3.1'!K5*1000-'Table 10.3.2'!F30</f>
        <v>3720814.6999999993</v>
      </c>
      <c r="E30" s="209">
        <f>F30/I30</f>
        <v>4.35196617127142</v>
      </c>
      <c r="F30" s="168">
        <v>1162146</v>
      </c>
      <c r="G30" s="208">
        <f>'Table 10.3.1'!E29*'Table 10.3.1'!C5</f>
        <v>62284.74460995686</v>
      </c>
      <c r="H30" s="210">
        <f>1000*('Table 10.3.1'!I29)*'Table 10.3.1'!I5</f>
        <v>102167.91720893765</v>
      </c>
      <c r="I30" s="168">
        <f>'Table 10.3.1'!I5*1000</f>
        <v>267039.3</v>
      </c>
      <c r="J30" s="60"/>
    </row>
    <row r="31" spans="2:10" ht="12.75" customHeight="1">
      <c r="B31" s="192" t="s">
        <v>19</v>
      </c>
      <c r="C31" s="193"/>
      <c r="D31" s="208">
        <f>'Table 10.3.1'!K6*1000-'Table 10.3.2'!F31</f>
        <v>2511797.494</v>
      </c>
      <c r="E31" s="209">
        <f>F31/I31</f>
        <v>3.968917582886544</v>
      </c>
      <c r="F31" s="168">
        <v>578567</v>
      </c>
      <c r="G31" s="211">
        <v>43284</v>
      </c>
      <c r="H31" s="208">
        <f>'[1]OECD # Health Employees'!O13+'[1]OECD # Health Employees'!Q13</f>
        <v>73255</v>
      </c>
      <c r="I31" s="168">
        <f>'Table 10.3.1'!I6*1000</f>
        <v>145774.506</v>
      </c>
      <c r="J31" s="60"/>
    </row>
    <row r="32" spans="2:10" ht="12.75" customHeight="1">
      <c r="B32" s="192" t="s">
        <v>20</v>
      </c>
      <c r="C32" s="193"/>
      <c r="D32" s="208">
        <f>'Table 10.3.1'!K7*1000-'Table 10.3.2'!F32</f>
        <v>1438229.8895587744</v>
      </c>
      <c r="E32" s="212">
        <f>E38</f>
        <v>3.7639091263314572</v>
      </c>
      <c r="F32" s="206">
        <f>E32*I32</f>
        <v>785956.2804412255</v>
      </c>
      <c r="G32" s="211">
        <v>104007</v>
      </c>
      <c r="H32" s="208">
        <f>'[1]OECD # Health Employees'!O14+'[1]OECD # Health Employees'!Q14</f>
        <v>73006</v>
      </c>
      <c r="I32" s="168">
        <f>'Table 10.3.1'!I7*1000</f>
        <v>208813.83000000002</v>
      </c>
      <c r="J32" s="60"/>
    </row>
    <row r="33" spans="2:10" ht="12.75" customHeight="1">
      <c r="B33" s="192" t="s">
        <v>21</v>
      </c>
      <c r="C33" s="193"/>
      <c r="D33" s="208">
        <f>'Table 10.3.1'!K8*1000-'Table 10.3.2'!F33</f>
        <v>307781.3800484105</v>
      </c>
      <c r="E33" s="212">
        <f>E38</f>
        <v>3.7639091263314572</v>
      </c>
      <c r="F33" s="206">
        <f>E33*I33</f>
        <v>811593.4699515894</v>
      </c>
      <c r="G33" s="211">
        <v>46478</v>
      </c>
      <c r="H33" s="210">
        <f>1000*('Table 10.3.1'!I32)*'Table 10.3.1'!I8</f>
        <v>72459.4</v>
      </c>
      <c r="I33" s="168">
        <f>'Table 10.3.1'!I8*1000</f>
        <v>215625.15</v>
      </c>
      <c r="J33" s="60"/>
    </row>
    <row r="34" spans="2:10" ht="12.75" customHeight="1">
      <c r="B34" s="192" t="s">
        <v>22</v>
      </c>
      <c r="C34" s="193"/>
      <c r="D34" s="208">
        <f>'Table 10.3.1'!K9*1000-'Table 10.3.2'!F34</f>
        <v>1209569.6</v>
      </c>
      <c r="E34" s="209">
        <f>F34/I34</f>
        <v>4.110487960890026</v>
      </c>
      <c r="F34" s="168">
        <v>287892</v>
      </c>
      <c r="G34" s="211">
        <v>34038</v>
      </c>
      <c r="H34" s="208">
        <f>'[1]OECD # Health Employees'!O16+'[1]OECD # Health Employees'!Q16</f>
        <v>26328</v>
      </c>
      <c r="I34" s="168">
        <f>'Table 10.3.1'!I9*1000</f>
        <v>70038.4</v>
      </c>
      <c r="J34" s="60"/>
    </row>
    <row r="35" spans="2:10" ht="12.75" customHeight="1">
      <c r="B35" s="192" t="s">
        <v>23</v>
      </c>
      <c r="C35" s="193"/>
      <c r="D35" s="208">
        <f>'Table 10.3.1'!K10*1000-'Table 10.3.2'!F35</f>
        <v>368642.25</v>
      </c>
      <c r="E35" s="209">
        <f>F35/I35</f>
        <v>3.7118787098619754</v>
      </c>
      <c r="F35" s="168">
        <v>64879</v>
      </c>
      <c r="G35" s="211">
        <v>2205</v>
      </c>
      <c r="H35" s="208">
        <f>'[1]OECD # Health Employees'!O17+'[1]OECD # Health Employees'!Q17</f>
        <v>4761</v>
      </c>
      <c r="I35" s="168">
        <f>'Table 10.3.1'!I10*1000</f>
        <v>17478.75</v>
      </c>
      <c r="J35" s="60"/>
    </row>
    <row r="36" spans="2:10" ht="12.75" customHeight="1">
      <c r="B36" s="192" t="s">
        <v>24</v>
      </c>
      <c r="C36" s="193"/>
      <c r="D36" s="208">
        <f>'Table 10.3.1'!K11*1000-'Table 10.3.2'!F36</f>
        <v>358985.85025</v>
      </c>
      <c r="E36" s="209">
        <f>F36/I36</f>
        <v>3.7760883813127717</v>
      </c>
      <c r="F36" s="168">
        <v>108801</v>
      </c>
      <c r="G36" s="211">
        <v>3920</v>
      </c>
      <c r="H36" s="210">
        <f>1000*('Table 10.3.1'!I35)*'Table 10.3.1'!I11</f>
        <v>18709.837499999998</v>
      </c>
      <c r="I36" s="168">
        <f>'Table 10.3.1'!I11*1000</f>
        <v>28813.14975</v>
      </c>
      <c r="J36" s="60"/>
    </row>
    <row r="37" spans="2:10" ht="12.75" customHeight="1">
      <c r="B37" s="192" t="s">
        <v>25</v>
      </c>
      <c r="C37" s="193"/>
      <c r="D37" s="208">
        <f>'Table 10.3.1'!K12*1000-'Table 10.3.2'!F37</f>
        <v>928004.898</v>
      </c>
      <c r="E37" s="209">
        <f>F37/I37</f>
        <v>2.664115951766006</v>
      </c>
      <c r="F37" s="168">
        <v>166353</v>
      </c>
      <c r="G37" s="211">
        <v>8495</v>
      </c>
      <c r="H37" s="208">
        <f>'[1]OECD # Health Employees'!O19+'[1]OECD # Health Employees'!Q19</f>
        <v>12265</v>
      </c>
      <c r="I37" s="168">
        <f>'Table 10.3.1'!I12*1000</f>
        <v>62442.102</v>
      </c>
      <c r="J37" s="60"/>
    </row>
    <row r="38" spans="2:10" ht="12.75" customHeight="1">
      <c r="B38" s="138" t="s">
        <v>154</v>
      </c>
      <c r="C38" s="60"/>
      <c r="D38" s="213"/>
      <c r="E38" s="214">
        <f>AVERAGE(E30,E31,E34:E37)</f>
        <v>3.7639091263314572</v>
      </c>
      <c r="F38" s="213"/>
      <c r="G38" s="215"/>
      <c r="H38" s="168"/>
      <c r="I38" s="216"/>
      <c r="J38" s="60"/>
    </row>
    <row r="39" spans="2:11" ht="18" customHeight="1">
      <c r="B39" s="198" t="s">
        <v>37</v>
      </c>
      <c r="C39" s="199"/>
      <c r="D39" s="133" t="s">
        <v>58</v>
      </c>
      <c r="E39" s="133" t="s">
        <v>59</v>
      </c>
      <c r="F39" s="161" t="s">
        <v>60</v>
      </c>
      <c r="G39" s="133" t="s">
        <v>61</v>
      </c>
      <c r="H39" s="133" t="s">
        <v>62</v>
      </c>
      <c r="I39" s="133" t="s">
        <v>155</v>
      </c>
      <c r="J39" s="217"/>
      <c r="K39" s="60"/>
    </row>
    <row r="40" spans="1:16" ht="18" customHeight="1">
      <c r="A40" s="152"/>
      <c r="B40" s="218" t="str">
        <f>D39</f>
        <v>[P1a]</v>
      </c>
      <c r="C40" s="157" t="s">
        <v>156</v>
      </c>
      <c r="D40" s="157"/>
      <c r="E40" s="157"/>
      <c r="F40" s="157"/>
      <c r="G40" s="157"/>
      <c r="H40" s="157"/>
      <c r="I40" s="157"/>
      <c r="J40" s="157"/>
      <c r="K40" s="157"/>
      <c r="L40" s="154"/>
      <c r="M40" s="154"/>
      <c r="N40" s="154"/>
      <c r="O40" s="154"/>
      <c r="P40" s="154"/>
    </row>
    <row r="41" spans="1:16" ht="18" customHeight="1">
      <c r="A41" s="152"/>
      <c r="B41" s="219" t="str">
        <f>E39</f>
        <v>[P1b]</v>
      </c>
      <c r="C41" s="157" t="s">
        <v>157</v>
      </c>
      <c r="D41" s="157"/>
      <c r="E41" s="157"/>
      <c r="F41" s="157"/>
      <c r="G41" s="157"/>
      <c r="H41" s="157"/>
      <c r="I41" s="157"/>
      <c r="J41" s="157"/>
      <c r="K41" s="157"/>
      <c r="L41" s="154"/>
      <c r="M41" s="154"/>
      <c r="N41" s="154"/>
      <c r="O41" s="154"/>
      <c r="P41" s="154"/>
    </row>
    <row r="42" spans="1:16" ht="24.75" customHeight="1">
      <c r="A42" s="152"/>
      <c r="B42" s="219" t="str">
        <f>F39</f>
        <v>[P1c]</v>
      </c>
      <c r="C42" s="157" t="s">
        <v>158</v>
      </c>
      <c r="D42" s="157"/>
      <c r="E42" s="157"/>
      <c r="F42" s="157"/>
      <c r="G42" s="157"/>
      <c r="H42" s="157"/>
      <c r="I42" s="157"/>
      <c r="J42" s="157"/>
      <c r="K42" s="157"/>
      <c r="L42" s="154"/>
      <c r="M42" s="154"/>
      <c r="N42" s="154"/>
      <c r="O42" s="154"/>
      <c r="P42" s="154"/>
    </row>
    <row r="43" spans="1:16" ht="24.75" customHeight="1">
      <c r="A43" s="152"/>
      <c r="B43" s="219" t="str">
        <f>G39</f>
        <v>[P1d]</v>
      </c>
      <c r="C43" s="157" t="s">
        <v>159</v>
      </c>
      <c r="D43" s="157"/>
      <c r="E43" s="157"/>
      <c r="F43" s="157"/>
      <c r="G43" s="157"/>
      <c r="H43" s="157"/>
      <c r="I43" s="157"/>
      <c r="J43" s="157"/>
      <c r="K43" s="157"/>
      <c r="L43" s="154"/>
      <c r="M43" s="154"/>
      <c r="N43" s="154"/>
      <c r="O43" s="154"/>
      <c r="P43" s="154"/>
    </row>
    <row r="44" spans="1:16" ht="24.75" customHeight="1">
      <c r="A44" s="152"/>
      <c r="B44" s="219" t="str">
        <f>H39</f>
        <v>[P1e]</v>
      </c>
      <c r="C44" s="157" t="s">
        <v>160</v>
      </c>
      <c r="D44" s="157"/>
      <c r="E44" s="157"/>
      <c r="F44" s="157"/>
      <c r="G44" s="157"/>
      <c r="H44" s="157"/>
      <c r="I44" s="157"/>
      <c r="J44" s="157"/>
      <c r="K44" s="157"/>
      <c r="L44" s="154"/>
      <c r="M44" s="154"/>
      <c r="N44" s="154"/>
      <c r="O44" s="154"/>
      <c r="P44" s="154"/>
    </row>
    <row r="45" spans="1:16" ht="18" customHeight="1">
      <c r="A45" s="152"/>
      <c r="B45" s="219" t="str">
        <f>I39</f>
        <v>[P1f]</v>
      </c>
      <c r="C45" s="157" t="s">
        <v>161</v>
      </c>
      <c r="D45" s="157"/>
      <c r="E45" s="157"/>
      <c r="F45" s="157"/>
      <c r="G45" s="157"/>
      <c r="H45" s="157"/>
      <c r="I45" s="157"/>
      <c r="J45" s="157"/>
      <c r="K45" s="157"/>
      <c r="L45" s="154"/>
      <c r="M45" s="154"/>
      <c r="N45" s="154"/>
      <c r="O45" s="154"/>
      <c r="P45" s="154"/>
    </row>
    <row r="46" spans="1:11" ht="18" customHeight="1">
      <c r="A46" s="58" t="s">
        <v>68</v>
      </c>
      <c r="B46" s="59" t="s">
        <v>69</v>
      </c>
      <c r="C46" s="59"/>
      <c r="D46" s="59"/>
      <c r="E46" s="59"/>
      <c r="F46" s="59"/>
      <c r="G46" s="59"/>
      <c r="H46" s="220"/>
      <c r="I46" s="220"/>
      <c r="J46" s="220"/>
      <c r="K46" s="220"/>
    </row>
    <row r="47" spans="2:11" ht="24.75" customHeight="1">
      <c r="B47" s="174" t="s">
        <v>47</v>
      </c>
      <c r="C47" s="175"/>
      <c r="D47" s="221" t="s">
        <v>162</v>
      </c>
      <c r="E47" s="222"/>
      <c r="F47" s="223"/>
      <c r="G47" s="201" t="s">
        <v>163</v>
      </c>
      <c r="H47" s="221" t="s">
        <v>164</v>
      </c>
      <c r="I47" s="222"/>
      <c r="J47" s="223"/>
      <c r="K47" s="179" t="s">
        <v>165</v>
      </c>
    </row>
    <row r="48" spans="2:11" ht="56.25">
      <c r="B48" s="181"/>
      <c r="C48" s="182"/>
      <c r="D48" s="183" t="s">
        <v>166</v>
      </c>
      <c r="E48" s="183" t="s">
        <v>167</v>
      </c>
      <c r="F48" s="183" t="s">
        <v>168</v>
      </c>
      <c r="G48" s="202"/>
      <c r="H48" s="183" t="s">
        <v>166</v>
      </c>
      <c r="I48" s="183" t="s">
        <v>167</v>
      </c>
      <c r="J48" s="184" t="s">
        <v>168</v>
      </c>
      <c r="K48" s="203"/>
    </row>
    <row r="49" spans="2:11" ht="12.75" customHeight="1">
      <c r="B49" s="185" t="s">
        <v>17</v>
      </c>
      <c r="C49" s="186"/>
      <c r="D49" s="224">
        <f>'Table 10.3.1'!I48</f>
        <v>51230</v>
      </c>
      <c r="E49" s="204">
        <f>'Table 10.3.1'!J48*'Table 10.3.1'!I28+'Table 10.3.1'!J28*'Table 10.3.1'!E48*1000+(1-'Table 10.3.1'!J28-'Table 10.3.1'!I28)*'Table 10.3.1'!K48</f>
        <v>191848.94735743944</v>
      </c>
      <c r="F49" s="204">
        <f aca="true" t="shared" si="7" ref="F49:F57">D49*(I$71/I$74)</f>
        <v>45635.73193805128</v>
      </c>
      <c r="G49" s="225">
        <f>'[1]GDP'!G9*1000000</f>
        <v>13336200000000</v>
      </c>
      <c r="H49" s="204">
        <f aca="true" t="shared" si="8" ref="H49:H57">(K49/G49)*D49</f>
        <v>51230</v>
      </c>
      <c r="I49" s="226">
        <f aca="true" t="shared" si="9" ref="I49:I57">K49/G49*E49</f>
        <v>191848.94735743944</v>
      </c>
      <c r="J49" s="227">
        <f aca="true" t="shared" si="10" ref="J49:J57">K49/G49*F49</f>
        <v>45635.73193805128</v>
      </c>
      <c r="K49" s="228">
        <f>'[1]GDP'!F9*1000000</f>
        <v>13336200000000</v>
      </c>
    </row>
    <row r="50" spans="2:11" ht="12.75" customHeight="1">
      <c r="B50" s="192" t="s">
        <v>18</v>
      </c>
      <c r="C50" s="193"/>
      <c r="D50" s="226">
        <f>'Table 10.3.1'!I49</f>
        <v>38866</v>
      </c>
      <c r="E50" s="208">
        <f>'Table 10.3.1'!J49*'Table 10.3.1'!I29+'Table 10.3.1'!J29*'Table 10.3.1'!E49*1000+(1-'Table 10.3.1'!J29-'Table 10.3.1'!I29)*'Table 10.3.1'!K49</f>
        <v>91246.4756275502</v>
      </c>
      <c r="F50" s="208">
        <f t="shared" si="7"/>
        <v>34621.86916853993</v>
      </c>
      <c r="G50" s="225">
        <f>'[1]GDP'!G10*1000000</f>
        <v>4080363000000</v>
      </c>
      <c r="H50" s="208">
        <f t="shared" si="8"/>
        <v>4832717.166781485</v>
      </c>
      <c r="I50" s="226">
        <f t="shared" si="9"/>
        <v>11345865.5167388</v>
      </c>
      <c r="J50" s="229">
        <f t="shared" si="10"/>
        <v>4304988.974344299</v>
      </c>
      <c r="K50" s="230">
        <f>'[1]GDP'!F10*1000000</f>
        <v>507364800000000</v>
      </c>
    </row>
    <row r="51" spans="2:11" ht="12.75" customHeight="1">
      <c r="B51" s="192" t="s">
        <v>19</v>
      </c>
      <c r="C51" s="193"/>
      <c r="D51" s="224">
        <f>'Table 10.3.1'!I50</f>
        <v>49999</v>
      </c>
      <c r="E51" s="208">
        <f>'Table 10.3.1'!J50*'Table 10.3.1'!I30+'Table 10.3.1'!J30*'Table 10.3.1'!E50*1000+(1-'Table 10.3.1'!J30-'Table 10.3.1'!I30)*'Table 10.3.1'!K50</f>
        <v>123177.92636025691</v>
      </c>
      <c r="F51" s="208">
        <f t="shared" si="7"/>
        <v>44539.15598615315</v>
      </c>
      <c r="G51" s="225">
        <f>'[1]GDP'!G11*1000000</f>
        <v>2065087000000</v>
      </c>
      <c r="H51" s="208">
        <f t="shared" si="8"/>
        <v>32099.579439026056</v>
      </c>
      <c r="I51" s="226">
        <f t="shared" si="9"/>
        <v>79080.7742621966</v>
      </c>
      <c r="J51" s="229">
        <f t="shared" si="10"/>
        <v>28594.33540120194</v>
      </c>
      <c r="K51" s="230">
        <f>'[1]GDP'!F11*1000000</f>
        <v>1325795000000</v>
      </c>
    </row>
    <row r="52" spans="2:11" ht="12.75" customHeight="1">
      <c r="B52" s="192" t="s">
        <v>20</v>
      </c>
      <c r="C52" s="193"/>
      <c r="D52" s="226">
        <f>'Table 10.3.1'!I51</f>
        <v>51418.421544813136</v>
      </c>
      <c r="E52" s="208">
        <f>'Table 10.3.1'!J51*'Table 10.3.1'!I31+'Table 10.3.1'!J31*'Table 10.3.1'!E51*1000+(1-'Table 10.3.1'!J31-'Table 10.3.1'!I31)*'Table 10.3.1'!K51</f>
        <v>105928.49671264428</v>
      </c>
      <c r="F52" s="208">
        <f t="shared" si="7"/>
        <v>45803.57802648473</v>
      </c>
      <c r="G52" s="225">
        <f>'[1]GDP'!G12*1000000</f>
        <v>1953371000000</v>
      </c>
      <c r="H52" s="208">
        <f t="shared" si="8"/>
        <v>47550.50588505552</v>
      </c>
      <c r="I52" s="226">
        <f t="shared" si="9"/>
        <v>97960.09785986482</v>
      </c>
      <c r="J52" s="229">
        <f t="shared" si="10"/>
        <v>42358.03513740237</v>
      </c>
      <c r="K52" s="230">
        <f>'[1]GDP'!F12*1000000</f>
        <v>1806430000000</v>
      </c>
    </row>
    <row r="53" spans="2:11" ht="12.75" customHeight="1">
      <c r="B53" s="192" t="s">
        <v>21</v>
      </c>
      <c r="C53" s="193"/>
      <c r="D53" s="224">
        <f>'Table 10.3.1'!I52</f>
        <v>34200</v>
      </c>
      <c r="E53" s="208">
        <f>'Table 10.3.1'!J52*'Table 10.3.1'!I32+'Table 10.3.1'!J32*'Table 10.3.1'!E52*1000+(1-'Table 10.3.1'!J32-'Table 10.3.1'!I32)*'Table 10.3.1'!K52</f>
        <v>70334.8484405689</v>
      </c>
      <c r="F53" s="208">
        <f t="shared" si="7"/>
        <v>30465.3920023688</v>
      </c>
      <c r="G53" s="225">
        <f>'[1]GDP'!G13*1000000</f>
        <v>1739784000000</v>
      </c>
      <c r="H53" s="208">
        <f t="shared" si="8"/>
        <v>29198.965733677283</v>
      </c>
      <c r="I53" s="226">
        <f t="shared" si="9"/>
        <v>60049.8488157765</v>
      </c>
      <c r="J53" s="229">
        <f t="shared" si="10"/>
        <v>26010.46599825183</v>
      </c>
      <c r="K53" s="230">
        <f>'[1]GDP'!F13*1000000</f>
        <v>1485377000000</v>
      </c>
    </row>
    <row r="54" spans="2:11" ht="12.75" customHeight="1">
      <c r="B54" s="192" t="s">
        <v>22</v>
      </c>
      <c r="C54" s="193"/>
      <c r="D54" s="226">
        <f>'Table 10.3.1'!I53</f>
        <v>56774.50712239784</v>
      </c>
      <c r="E54" s="208">
        <f>'Table 10.3.1'!J53*'Table 10.3.1'!I33+'Table 10.3.1'!J33*'Table 10.3.1'!E53*1000+(1-'Table 10.3.1'!J33-'Table 10.3.1'!I33)*'Table 10.3.1'!K53</f>
        <v>127381.33343296805</v>
      </c>
      <c r="F54" s="208">
        <f t="shared" si="7"/>
        <v>50574.78407091022</v>
      </c>
      <c r="G54" s="225">
        <f>'[1]GDP'!G14*1000000</f>
        <v>1202176000000</v>
      </c>
      <c r="H54" s="208">
        <f t="shared" si="8"/>
        <v>68441.28259039091</v>
      </c>
      <c r="I54" s="226">
        <f t="shared" si="9"/>
        <v>153557.3319805576</v>
      </c>
      <c r="J54" s="229">
        <f t="shared" si="10"/>
        <v>60967.55857488767</v>
      </c>
      <c r="K54" s="230">
        <f>'[1]GDP'!F14*1000000</f>
        <v>1449215000000</v>
      </c>
    </row>
    <row r="55" spans="2:11" ht="12.75" customHeight="1">
      <c r="B55" s="192" t="s">
        <v>23</v>
      </c>
      <c r="C55" s="193"/>
      <c r="D55" s="224">
        <f>'Table 10.3.1'!I54</f>
        <v>46780</v>
      </c>
      <c r="E55" s="208">
        <f>'Table 10.3.1'!J54*'Table 10.3.1'!I34+'Table 10.3.1'!J34*'Table 10.3.1'!E54*1000+(1-'Table 10.3.1'!J34-'Table 10.3.1'!I34)*'Table 10.3.1'!K54</f>
        <v>67461.78400720112</v>
      </c>
      <c r="F55" s="208">
        <f t="shared" si="7"/>
        <v>41671.667774000365</v>
      </c>
      <c r="G55" s="225">
        <f>'[1]GDP'!G15*1000000</f>
        <v>242564000000</v>
      </c>
      <c r="H55" s="208">
        <f t="shared" si="8"/>
        <v>416487.29795023164</v>
      </c>
      <c r="I55" s="226">
        <f t="shared" si="9"/>
        <v>600619.412912812</v>
      </c>
      <c r="J55" s="229">
        <f t="shared" si="10"/>
        <v>371007.274738631</v>
      </c>
      <c r="K55" s="230">
        <f>'[1]GDP'!F15*1000000</f>
        <v>2159573000000</v>
      </c>
    </row>
    <row r="56" spans="2:11" ht="12.75" customHeight="1">
      <c r="B56" s="192" t="s">
        <v>24</v>
      </c>
      <c r="C56" s="193"/>
      <c r="D56" s="226">
        <f>'Table 10.3.1'!I55</f>
        <v>43919.90173619455</v>
      </c>
      <c r="E56" s="208">
        <f>'Table 10.3.1'!J55*'Table 10.3.1'!I35+'Table 10.3.1'!J35*'Table 10.3.1'!E55*1000+(1-'Table 10.3.1'!J35-'Table 10.3.1'!I35)*'Table 10.3.1'!K55</f>
        <v>119965.96967411748</v>
      </c>
      <c r="F56" s="208">
        <f t="shared" si="7"/>
        <v>39123.889564289035</v>
      </c>
      <c r="G56" s="225">
        <f>'[1]GDP'!G16*1000000</f>
        <v>288710000000</v>
      </c>
      <c r="H56" s="208">
        <f t="shared" si="8"/>
        <v>74623.82417401482</v>
      </c>
      <c r="I56" s="226">
        <f t="shared" si="9"/>
        <v>203832.86560153888</v>
      </c>
      <c r="J56" s="229">
        <f t="shared" si="10"/>
        <v>66474.97240284231</v>
      </c>
      <c r="K56" s="230">
        <f>'[1]GDP'!F16*1000000</f>
        <v>490544000000</v>
      </c>
    </row>
    <row r="57" spans="2:11" ht="12.75" customHeight="1">
      <c r="B57" s="192" t="s">
        <v>25</v>
      </c>
      <c r="C57" s="193"/>
      <c r="D57" s="226">
        <f>'Table 10.3.1'!I56</f>
        <v>103550.98783330423</v>
      </c>
      <c r="E57" s="208">
        <f>'Table 10.3.1'!J56*'Table 10.3.1'!I36+'Table 10.3.1'!J36*'Table 10.3.1'!E56*1000+(1-'Table 10.3.1'!J36-'Table 10.3.1'!I36)*'Table 10.3.1'!K56</f>
        <v>161034.43697149798</v>
      </c>
      <c r="F57" s="208">
        <f t="shared" si="7"/>
        <v>92243.31685889285</v>
      </c>
      <c r="G57" s="225">
        <f>'[1]GDP'!G17*1000000</f>
        <v>607447000000</v>
      </c>
      <c r="H57" s="208">
        <f t="shared" si="8"/>
        <v>92090.17485205503</v>
      </c>
      <c r="I57" s="226">
        <f t="shared" si="9"/>
        <v>143211.47261077058</v>
      </c>
      <c r="J57" s="229">
        <f t="shared" si="10"/>
        <v>82034.01393083455</v>
      </c>
      <c r="K57" s="230">
        <f>'[1]GDP'!F17*1000000</f>
        <v>540216000000</v>
      </c>
    </row>
    <row r="58" spans="2:11" ht="12.75" customHeight="1">
      <c r="B58" s="192" t="s">
        <v>26</v>
      </c>
      <c r="C58" s="193"/>
      <c r="D58" s="231"/>
      <c r="E58" s="215"/>
      <c r="F58" s="215"/>
      <c r="G58" s="164"/>
      <c r="H58" s="215"/>
      <c r="I58" s="224"/>
      <c r="J58" s="232"/>
      <c r="K58" s="233"/>
    </row>
    <row r="59" spans="2:11" ht="18" customHeight="1">
      <c r="B59" s="198" t="s">
        <v>37</v>
      </c>
      <c r="C59" s="199"/>
      <c r="D59" s="234" t="s">
        <v>169</v>
      </c>
      <c r="E59" s="234" t="s">
        <v>170</v>
      </c>
      <c r="F59" s="234" t="s">
        <v>171</v>
      </c>
      <c r="G59" s="234" t="s">
        <v>172</v>
      </c>
      <c r="H59" s="234" t="s">
        <v>173</v>
      </c>
      <c r="I59" s="234" t="s">
        <v>174</v>
      </c>
      <c r="J59" s="234" t="s">
        <v>175</v>
      </c>
      <c r="K59" s="234" t="str">
        <f>G59</f>
        <v>[2d]</v>
      </c>
    </row>
    <row r="60" spans="2:11" ht="18" customHeight="1">
      <c r="B60" s="235" t="str">
        <f>D59</f>
        <v>[2a]</v>
      </c>
      <c r="C60" s="236" t="s">
        <v>176</v>
      </c>
      <c r="D60" s="236"/>
      <c r="E60" s="236"/>
      <c r="F60" s="236"/>
      <c r="G60" s="236"/>
      <c r="H60" s="236"/>
      <c r="I60" s="236"/>
      <c r="J60" s="236"/>
      <c r="K60" s="236"/>
    </row>
    <row r="61" spans="2:11" ht="24.75" customHeight="1">
      <c r="B61" s="235" t="str">
        <f>E59</f>
        <v>[2b]</v>
      </c>
      <c r="C61" s="157" t="s">
        <v>177</v>
      </c>
      <c r="D61" s="157"/>
      <c r="E61" s="157"/>
      <c r="F61" s="157"/>
      <c r="G61" s="157"/>
      <c r="H61" s="157"/>
      <c r="I61" s="157"/>
      <c r="J61" s="157"/>
      <c r="K61" s="157"/>
    </row>
    <row r="62" spans="2:11" s="60" customFormat="1" ht="36" customHeight="1">
      <c r="B62" s="237" t="str">
        <f>F59</f>
        <v>[2c]</v>
      </c>
      <c r="C62" s="157" t="s">
        <v>178</v>
      </c>
      <c r="D62" s="157"/>
      <c r="E62" s="157"/>
      <c r="F62" s="157"/>
      <c r="G62" s="157"/>
      <c r="H62" s="157"/>
      <c r="I62" s="157"/>
      <c r="J62" s="157"/>
      <c r="K62" s="157"/>
    </row>
    <row r="63" spans="2:11" s="60" customFormat="1" ht="18" customHeight="1">
      <c r="B63" s="237" t="str">
        <f>G59</f>
        <v>[2d]</v>
      </c>
      <c r="C63" s="157" t="s">
        <v>179</v>
      </c>
      <c r="D63" s="157"/>
      <c r="E63" s="157"/>
      <c r="F63" s="157"/>
      <c r="G63" s="157"/>
      <c r="H63" s="157"/>
      <c r="I63" s="157"/>
      <c r="J63" s="157"/>
      <c r="K63" s="157"/>
    </row>
    <row r="64" spans="2:11" s="60" customFormat="1" ht="18" customHeight="1">
      <c r="B64" s="235" t="str">
        <f>H59</f>
        <v>[2e]</v>
      </c>
      <c r="C64" s="157" t="s">
        <v>180</v>
      </c>
      <c r="D64" s="157"/>
      <c r="E64" s="157"/>
      <c r="F64" s="157"/>
      <c r="G64" s="157"/>
      <c r="H64" s="157"/>
      <c r="I64" s="157"/>
      <c r="J64" s="157"/>
      <c r="K64" s="157"/>
    </row>
    <row r="65" spans="2:11" s="60" customFormat="1" ht="18" customHeight="1">
      <c r="B65" s="235" t="str">
        <f>I59</f>
        <v>[2f]</v>
      </c>
      <c r="C65" s="157" t="s">
        <v>181</v>
      </c>
      <c r="D65" s="157"/>
      <c r="E65" s="157"/>
      <c r="F65" s="157"/>
      <c r="G65" s="157"/>
      <c r="H65" s="157"/>
      <c r="I65" s="157"/>
      <c r="J65" s="157"/>
      <c r="K65" s="157"/>
    </row>
    <row r="66" spans="2:11" s="60" customFormat="1" ht="18" customHeight="1">
      <c r="B66" s="235" t="str">
        <f>J59</f>
        <v>[2g]</v>
      </c>
      <c r="C66" s="157" t="s">
        <v>182</v>
      </c>
      <c r="D66" s="157"/>
      <c r="E66" s="157"/>
      <c r="F66" s="157"/>
      <c r="G66" s="157"/>
      <c r="H66" s="157"/>
      <c r="I66" s="157"/>
      <c r="J66" s="157"/>
      <c r="K66" s="157"/>
    </row>
    <row r="67" spans="1:11" ht="18" customHeight="1">
      <c r="A67" s="58" t="s">
        <v>183</v>
      </c>
      <c r="B67" s="59" t="s">
        <v>184</v>
      </c>
      <c r="C67" s="59"/>
      <c r="D67" s="59"/>
      <c r="E67" s="59"/>
      <c r="F67" s="59"/>
      <c r="G67" s="59"/>
      <c r="H67" s="220"/>
      <c r="I67" s="220"/>
      <c r="J67" s="220"/>
      <c r="K67" s="220"/>
    </row>
    <row r="68" spans="1:11" ht="18" customHeight="1">
      <c r="A68" s="238"/>
      <c r="B68" s="150" t="s">
        <v>185</v>
      </c>
      <c r="C68" s="150"/>
      <c r="D68" s="150"/>
      <c r="E68" s="150"/>
      <c r="F68" s="150"/>
      <c r="G68" s="151"/>
      <c r="H68" s="133" t="s">
        <v>186</v>
      </c>
      <c r="I68" s="133" t="s">
        <v>187</v>
      </c>
      <c r="J68" s="239" t="s">
        <v>27</v>
      </c>
      <c r="K68" s="60"/>
    </row>
    <row r="69" spans="1:11" ht="12.75" customHeight="1">
      <c r="A69" s="238"/>
      <c r="B69" s="240" t="s">
        <v>188</v>
      </c>
      <c r="C69" s="240"/>
      <c r="D69" s="240"/>
      <c r="E69" s="240"/>
      <c r="F69" s="240"/>
      <c r="G69" s="240"/>
      <c r="H69" s="241">
        <v>16867510</v>
      </c>
      <c r="I69" s="242">
        <v>21.84</v>
      </c>
      <c r="J69" s="174" t="s">
        <v>189</v>
      </c>
      <c r="K69" s="60"/>
    </row>
    <row r="70" spans="1:11" ht="12.75" customHeight="1">
      <c r="A70" s="238"/>
      <c r="B70" s="240" t="s">
        <v>190</v>
      </c>
      <c r="C70" s="240"/>
      <c r="D70" s="240"/>
      <c r="E70" s="240"/>
      <c r="F70" s="240"/>
      <c r="G70" s="240"/>
      <c r="H70" s="243">
        <v>2422840</v>
      </c>
      <c r="I70" s="244">
        <v>13.82</v>
      </c>
      <c r="J70" s="176"/>
      <c r="K70" s="60"/>
    </row>
    <row r="71" spans="1:11" ht="12.75" customHeight="1">
      <c r="A71" s="238"/>
      <c r="B71" s="240" t="s">
        <v>191</v>
      </c>
      <c r="C71" s="240"/>
      <c r="D71" s="240"/>
      <c r="E71" s="240"/>
      <c r="F71" s="240"/>
      <c r="G71" s="240"/>
      <c r="H71" s="245">
        <f>H69-H70</f>
        <v>14444670</v>
      </c>
      <c r="I71" s="246">
        <f>(H69*I69+H70*I70)/H71</f>
        <v>27.82133944216102</v>
      </c>
      <c r="J71" s="44" t="s">
        <v>192</v>
      </c>
      <c r="K71" s="60"/>
    </row>
    <row r="72" spans="1:11" ht="12.75" customHeight="1">
      <c r="A72" s="238"/>
      <c r="B72" s="240" t="s">
        <v>193</v>
      </c>
      <c r="C72" s="240"/>
      <c r="D72" s="240"/>
      <c r="E72" s="240"/>
      <c r="F72" s="240"/>
      <c r="G72" s="247"/>
      <c r="H72" s="243">
        <v>1571850</v>
      </c>
      <c r="I72" s="244">
        <v>32.57</v>
      </c>
      <c r="J72" s="176" t="s">
        <v>189</v>
      </c>
      <c r="K72" s="60"/>
    </row>
    <row r="73" spans="1:11" ht="12.75" customHeight="1">
      <c r="A73" s="238"/>
      <c r="B73" s="240" t="s">
        <v>194</v>
      </c>
      <c r="C73" s="240"/>
      <c r="D73" s="240"/>
      <c r="E73" s="240"/>
      <c r="F73" s="240"/>
      <c r="G73" s="247"/>
      <c r="H73" s="243">
        <v>175550</v>
      </c>
      <c r="I73" s="244">
        <v>19.25</v>
      </c>
      <c r="J73" s="176"/>
      <c r="K73" s="60"/>
    </row>
    <row r="74" spans="1:11" ht="12.75" customHeight="1">
      <c r="A74" s="238"/>
      <c r="B74" s="248" t="s">
        <v>195</v>
      </c>
      <c r="C74" s="248"/>
      <c r="D74" s="248"/>
      <c r="E74" s="248"/>
      <c r="F74" s="248"/>
      <c r="G74" s="249"/>
      <c r="H74" s="250">
        <f>SUM(H72:H73)</f>
        <v>1747400</v>
      </c>
      <c r="I74" s="251">
        <f>(H72*I72+H73*I73)/H74</f>
        <v>31.23182556941742</v>
      </c>
      <c r="J74" s="161" t="s">
        <v>192</v>
      </c>
      <c r="K74" s="60"/>
    </row>
    <row r="75" spans="1:11" ht="18" customHeight="1">
      <c r="A75" s="238"/>
      <c r="B75" s="156" t="str">
        <f>J69</f>
        <v>[P3a]</v>
      </c>
      <c r="C75" s="252" t="s">
        <v>196</v>
      </c>
      <c r="D75" s="252"/>
      <c r="E75" s="252"/>
      <c r="F75" s="252"/>
      <c r="G75" s="252"/>
      <c r="H75" s="253"/>
      <c r="I75" s="253"/>
      <c r="J75" s="44"/>
      <c r="K75" s="60"/>
    </row>
    <row r="76" spans="1:11" ht="18" customHeight="1">
      <c r="A76" s="238"/>
      <c r="B76" s="156" t="str">
        <f>J71</f>
        <v>[P3b]</v>
      </c>
      <c r="C76" s="254" t="s">
        <v>197</v>
      </c>
      <c r="D76" s="252"/>
      <c r="E76" s="252"/>
      <c r="F76" s="252"/>
      <c r="G76" s="252"/>
      <c r="H76" s="253"/>
      <c r="I76" s="255"/>
      <c r="J76" s="44"/>
      <c r="K76" s="60"/>
    </row>
    <row r="77" spans="1:11" ht="18" customHeight="1">
      <c r="A77" s="57" t="s">
        <v>93</v>
      </c>
      <c r="B77" s="59"/>
      <c r="C77" s="59"/>
      <c r="D77" s="59"/>
      <c r="E77" s="59"/>
      <c r="F77" s="59"/>
      <c r="G77" s="59"/>
      <c r="H77" s="49"/>
      <c r="I77" s="49"/>
      <c r="J77" s="49"/>
      <c r="K77" s="49"/>
    </row>
    <row r="78" spans="1:15" s="2" customFormat="1" ht="24.75" customHeight="1">
      <c r="A78" s="121" t="s">
        <v>94</v>
      </c>
      <c r="B78" s="256" t="s">
        <v>198</v>
      </c>
      <c r="C78" s="122"/>
      <c r="D78" s="122"/>
      <c r="E78" s="122"/>
      <c r="F78" s="122"/>
      <c r="G78" s="122"/>
      <c r="H78" s="122"/>
      <c r="I78" s="122"/>
      <c r="J78" s="122"/>
      <c r="K78" s="122"/>
      <c r="L78" s="55"/>
      <c r="M78" s="55"/>
      <c r="N78" s="55"/>
      <c r="O78" s="55"/>
    </row>
    <row r="79" spans="1:15" s="2" customFormat="1" ht="36" customHeight="1">
      <c r="A79" s="121" t="s">
        <v>96</v>
      </c>
      <c r="B79" s="122" t="s">
        <v>97</v>
      </c>
      <c r="C79" s="122"/>
      <c r="D79" s="122"/>
      <c r="E79" s="122"/>
      <c r="F79" s="122"/>
      <c r="G79" s="122"/>
      <c r="H79" s="122"/>
      <c r="I79" s="122"/>
      <c r="J79" s="122"/>
      <c r="K79" s="122"/>
      <c r="L79" s="55"/>
      <c r="M79" s="55"/>
      <c r="N79" s="55"/>
      <c r="O79" s="55"/>
    </row>
    <row r="80" spans="1:15" s="2" customFormat="1" ht="24.75" customHeight="1">
      <c r="A80" s="121" t="s">
        <v>98</v>
      </c>
      <c r="B80" s="122" t="s">
        <v>95</v>
      </c>
      <c r="C80" s="122"/>
      <c r="D80" s="122"/>
      <c r="E80" s="122"/>
      <c r="F80" s="122"/>
      <c r="G80" s="122"/>
      <c r="H80" s="122"/>
      <c r="I80" s="122"/>
      <c r="J80" s="122"/>
      <c r="K80" s="122"/>
      <c r="L80" s="55"/>
      <c r="M80" s="55"/>
      <c r="N80" s="55"/>
      <c r="O80" s="55"/>
    </row>
    <row r="81" spans="1:15" s="2" customFormat="1" ht="24.75" customHeight="1">
      <c r="A81" s="121" t="s">
        <v>100</v>
      </c>
      <c r="B81" s="122" t="s">
        <v>199</v>
      </c>
      <c r="C81" s="122"/>
      <c r="D81" s="122"/>
      <c r="E81" s="122"/>
      <c r="F81" s="122"/>
      <c r="G81" s="122"/>
      <c r="H81" s="122"/>
      <c r="I81" s="122"/>
      <c r="J81" s="122"/>
      <c r="K81" s="122"/>
      <c r="L81" s="55"/>
      <c r="M81" s="55"/>
      <c r="N81" s="55"/>
      <c r="O81" s="55"/>
    </row>
    <row r="82" spans="1:9" ht="18">
      <c r="A82" s="124" t="s">
        <v>200</v>
      </c>
      <c r="B82" s="124"/>
      <c r="C82" s="124"/>
      <c r="D82" s="124"/>
      <c r="E82" s="124"/>
      <c r="F82" s="124"/>
      <c r="G82" s="124"/>
      <c r="H82" s="124"/>
      <c r="I82" s="124"/>
    </row>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sheetData>
  <sheetProtection/>
  <mergeCells count="91">
    <mergeCell ref="B79:K79"/>
    <mergeCell ref="B80:K80"/>
    <mergeCell ref="B81:K81"/>
    <mergeCell ref="A82:I82"/>
    <mergeCell ref="B72:G72"/>
    <mergeCell ref="J72:J73"/>
    <mergeCell ref="B73:G73"/>
    <mergeCell ref="B74:G74"/>
    <mergeCell ref="B77:G77"/>
    <mergeCell ref="B78:K78"/>
    <mergeCell ref="B67:G67"/>
    <mergeCell ref="B68:G68"/>
    <mergeCell ref="B69:G69"/>
    <mergeCell ref="J69:J70"/>
    <mergeCell ref="B70:G70"/>
    <mergeCell ref="B71:G71"/>
    <mergeCell ref="C61:K61"/>
    <mergeCell ref="C62:K62"/>
    <mergeCell ref="C63:K63"/>
    <mergeCell ref="C64:K64"/>
    <mergeCell ref="C65:K65"/>
    <mergeCell ref="C66:K66"/>
    <mergeCell ref="B55:C55"/>
    <mergeCell ref="B56:C56"/>
    <mergeCell ref="B57:C57"/>
    <mergeCell ref="B58:C58"/>
    <mergeCell ref="B59:C59"/>
    <mergeCell ref="C60:K60"/>
    <mergeCell ref="B49:C49"/>
    <mergeCell ref="B50:C50"/>
    <mergeCell ref="B51:C51"/>
    <mergeCell ref="B52:C52"/>
    <mergeCell ref="B53:C53"/>
    <mergeCell ref="B54:C54"/>
    <mergeCell ref="C42:K42"/>
    <mergeCell ref="C43:K43"/>
    <mergeCell ref="C44:K44"/>
    <mergeCell ref="C45:K45"/>
    <mergeCell ref="B46:G46"/>
    <mergeCell ref="B47:C48"/>
    <mergeCell ref="D47:F47"/>
    <mergeCell ref="G47:G48"/>
    <mergeCell ref="H47:J47"/>
    <mergeCell ref="K47:K48"/>
    <mergeCell ref="B35:C35"/>
    <mergeCell ref="B36:C36"/>
    <mergeCell ref="B37:C37"/>
    <mergeCell ref="B39:C39"/>
    <mergeCell ref="C40:K40"/>
    <mergeCell ref="C41:K41"/>
    <mergeCell ref="B29:C29"/>
    <mergeCell ref="B30:C30"/>
    <mergeCell ref="B31:C31"/>
    <mergeCell ref="B32:C32"/>
    <mergeCell ref="B33:C33"/>
    <mergeCell ref="B34:C34"/>
    <mergeCell ref="B23:J23"/>
    <mergeCell ref="B24:J24"/>
    <mergeCell ref="B26:G26"/>
    <mergeCell ref="B27:C28"/>
    <mergeCell ref="D27:D28"/>
    <mergeCell ref="E27:E28"/>
    <mergeCell ref="F27:F28"/>
    <mergeCell ref="G27:G28"/>
    <mergeCell ref="H27:H28"/>
    <mergeCell ref="I27:I28"/>
    <mergeCell ref="B16:J16"/>
    <mergeCell ref="B18:J18"/>
    <mergeCell ref="B19:J19"/>
    <mergeCell ref="B20:J20"/>
    <mergeCell ref="B21:J21"/>
    <mergeCell ref="B22:J22"/>
    <mergeCell ref="A11:B11"/>
    <mergeCell ref="A12:B12"/>
    <mergeCell ref="A13:B13"/>
    <mergeCell ref="A14:B14"/>
    <mergeCell ref="I14:J14"/>
    <mergeCell ref="B15:F15"/>
    <mergeCell ref="A5:B5"/>
    <mergeCell ref="A6:B6"/>
    <mergeCell ref="A7:B7"/>
    <mergeCell ref="A8:B8"/>
    <mergeCell ref="A9:B9"/>
    <mergeCell ref="A10:B10"/>
    <mergeCell ref="A1:I1"/>
    <mergeCell ref="A2:B4"/>
    <mergeCell ref="C2:J2"/>
    <mergeCell ref="C3:D3"/>
    <mergeCell ref="E3:F3"/>
    <mergeCell ref="G3:H3"/>
    <mergeCell ref="I3:J3"/>
  </mergeCells>
  <printOptions/>
  <pageMargins left="0.7" right="0.7" top="0.75" bottom="0.75" header="0.3" footer="0.3"/>
  <pageSetup horizontalDpi="300" verticalDpi="300" orientation="landscape" scale="75" r:id="rId1"/>
  <rowBreaks count="2" manualBreakCount="2">
    <brk id="38" max="10" man="1"/>
    <brk id="7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2013-11-03T18:39:52Z</dcterms:created>
  <dcterms:modified xsi:type="dcterms:W3CDTF">2013-11-03T18:40:21Z</dcterms:modified>
  <cp:category/>
  <cp:version/>
  <cp:contentType/>
  <cp:contentStatus/>
</cp:coreProperties>
</file>