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0" windowWidth="20115" windowHeight="7740"/>
  </bookViews>
  <sheets>
    <sheet name="Table 1.1" sheetId="1" r:id="rId1"/>
    <sheet name="Table 1.1.1" sheetId="2" r:id="rId2"/>
    <sheet name="Table 1.1.3" sheetId="3" r:id="rId3"/>
    <sheet name="Table 1.1.4" sheetId="4" r:id="rId4"/>
    <sheet name="Table 1.1.5" sheetId="5" r:id="rId5"/>
    <sheet name="Table 1.1.6" sheetId="6" r:id="rId6"/>
    <sheet name="Table 1.1.7" sheetId="7" r:id="rId7"/>
    <sheet name="Table 1.1.8" sheetId="8" r:id="rId8"/>
    <sheet name="Table 1.3" sheetId="9" r:id="rId9"/>
    <sheet name="Table 1.3.1" sheetId="10" r:id="rId10"/>
    <sheet name="Table 1.3.1.1" sheetId="11" r:id="rId11"/>
    <sheet name="Table 1.3.3" sheetId="12" r:id="rId12"/>
    <sheet name="Table 1.5" sheetId="13" r:id="rId13"/>
    <sheet name="Table 1.5.1" sheetId="14" r:id="rId14"/>
  </sheets>
  <externalReferences>
    <externalReference r:id="rId15"/>
    <externalReference r:id="rId16"/>
    <externalReference r:id="rId17"/>
  </externalReferences>
  <definedNames>
    <definedName name="BACKUP" localSheetId="2">#REF!</definedName>
    <definedName name="BACKUP" localSheetId="3">#REF!</definedName>
    <definedName name="BACKUP" localSheetId="4">#REF!</definedName>
    <definedName name="BACKUP" localSheetId="5">#REF!</definedName>
    <definedName name="BACKUP" localSheetId="6">#REF!</definedName>
    <definedName name="BACKUP" localSheetId="7">#REF!</definedName>
    <definedName name="BACKUP" localSheetId="10">#REF!</definedName>
    <definedName name="BACKUP" localSheetId="13">#REF!</definedName>
    <definedName name="BACKUP">#REF!</definedName>
    <definedName name="DOLLARS" localSheetId="2">#REF!</definedName>
    <definedName name="DOLLARS" localSheetId="3">#REF!</definedName>
    <definedName name="DOLLARS" localSheetId="4">#REF!</definedName>
    <definedName name="DOLLARS" localSheetId="5">#REF!</definedName>
    <definedName name="DOLLARS" localSheetId="6">#REF!</definedName>
    <definedName name="DOLLARS" localSheetId="7">#REF!</definedName>
    <definedName name="DOLLARS" localSheetId="10">#REF!</definedName>
    <definedName name="DOLLARS" localSheetId="13">#REF!</definedName>
    <definedName name="DOLLARS">#REF!</definedName>
    <definedName name="FootnoteT21" localSheetId="1">'Table 1.1.1'!#REF!</definedName>
    <definedName name="FootnoteT21" localSheetId="2">'Table 1.1.3'!#REF!</definedName>
    <definedName name="FootnoteT21" localSheetId="3">'Table 1.1.4'!#REF!</definedName>
    <definedName name="FootnoteT21" localSheetId="4">'Table 1.1.5'!#REF!</definedName>
    <definedName name="FootnoteT21" localSheetId="5">'Table 1.1.6'!#REF!</definedName>
    <definedName name="FootnoteT21" localSheetId="6">'Table 1.1.7'!#REF!</definedName>
    <definedName name="FootnoteT21" localSheetId="7">'Table 1.1.8'!#REF!</definedName>
    <definedName name="FootnoteT21" localSheetId="12">'Table 1.5'!#REF!</definedName>
    <definedName name="FootnoteT21" localSheetId="13">'Table 1.5.1'!#REF!</definedName>
    <definedName name="FootnoteT22" localSheetId="1">'Table 1.1.1'!#REF!</definedName>
    <definedName name="FootnoteT22" localSheetId="2">'Table 1.1.3'!#REF!</definedName>
    <definedName name="FootnoteT22" localSheetId="3">'Table 1.1.4'!#REF!</definedName>
    <definedName name="FootnoteT22" localSheetId="4">'Table 1.1.5'!#REF!</definedName>
    <definedName name="FootnoteT22" localSheetId="5">'Table 1.1.6'!#REF!</definedName>
    <definedName name="FootnoteT22" localSheetId="6">'Table 1.1.7'!#REF!</definedName>
    <definedName name="FootnoteT22" localSheetId="7">'Table 1.1.8'!#REF!</definedName>
    <definedName name="FootnoteT22" localSheetId="12">'Table 1.5'!#REF!</definedName>
    <definedName name="FootnoteT22" localSheetId="13">'Table 1.5.1'!#REF!</definedName>
    <definedName name="FootnoteT23" localSheetId="1">'Table 1.1.1'!#REF!</definedName>
    <definedName name="FootnoteT23" localSheetId="2">'Table 1.1.3'!#REF!</definedName>
    <definedName name="FootnoteT23" localSheetId="3">'Table 1.1.4'!#REF!</definedName>
    <definedName name="FootnoteT23" localSheetId="4">'Table 1.1.5'!#REF!</definedName>
    <definedName name="FootnoteT23" localSheetId="5">'Table 1.1.6'!#REF!</definedName>
    <definedName name="FootnoteT23" localSheetId="6">'Table 1.1.7'!#REF!</definedName>
    <definedName name="FootnoteT23" localSheetId="7">'Table 1.1.8'!#REF!</definedName>
    <definedName name="FootnoteT23" localSheetId="12">'Table 1.5'!#REF!</definedName>
    <definedName name="FootnoteT23" localSheetId="13">'Table 1.5.1'!#REF!</definedName>
    <definedName name="GROWTH" localSheetId="2">#REF!</definedName>
    <definedName name="GROWTH" localSheetId="3">#REF!</definedName>
    <definedName name="GROWTH" localSheetId="4">#REF!</definedName>
    <definedName name="GROWTH" localSheetId="5">#REF!</definedName>
    <definedName name="GROWTH" localSheetId="6">#REF!</definedName>
    <definedName name="GROWTH" localSheetId="7">#REF!</definedName>
    <definedName name="GROWTH" localSheetId="10">#REF!</definedName>
    <definedName name="GROWTH" localSheetId="13">#REF!</definedName>
    <definedName name="GROWTH">#REF!</definedName>
    <definedName name="junk" localSheetId="4">#REF!</definedName>
    <definedName name="junk" localSheetId="5">#REF!</definedName>
    <definedName name="junk" localSheetId="6">#REF!</definedName>
    <definedName name="junk" localSheetId="7">#REF!</definedName>
    <definedName name="junk" localSheetId="10">#REF!</definedName>
    <definedName name="junk" localSheetId="13">#REF!</definedName>
    <definedName name="junk">#REF!</definedName>
    <definedName name="newbase">[2]Data!$C$3</definedName>
    <definedName name="OFFBUD" localSheetId="2">#REF!</definedName>
    <definedName name="OFFBUD" localSheetId="3">#REF!</definedName>
    <definedName name="OFFBUD" localSheetId="4">#REF!</definedName>
    <definedName name="OFFBUD" localSheetId="5">#REF!</definedName>
    <definedName name="OFFBUD" localSheetId="6">#REF!</definedName>
    <definedName name="OFFBUD" localSheetId="7">#REF!</definedName>
    <definedName name="OFFBUD" localSheetId="10">#REF!</definedName>
    <definedName name="OFFBUD" localSheetId="13">#REF!</definedName>
    <definedName name="OFFBUD">#REF!</definedName>
    <definedName name="oldbase">[2]Data!$C$2</definedName>
    <definedName name="_xlnm.Print_Area" localSheetId="0">'Table 1.1'!$A$1:$R$255</definedName>
    <definedName name="_xlnm.Print_Area" localSheetId="1">'Table 1.1.1'!$A$1:$S$293</definedName>
    <definedName name="_xlnm.Print_Area" localSheetId="2">'Table 1.1.3'!$A$1:$AX$69</definedName>
    <definedName name="_xlnm.Print_Area" localSheetId="3">'Table 1.1.4'!$A$1:$Y$76</definedName>
    <definedName name="_xlnm.Print_Area" localSheetId="4">'Table 1.1.5'!$A$1:$V$77</definedName>
    <definedName name="_xlnm.Print_Area" localSheetId="5">'Table 1.1.6'!$A$1:$N$69</definedName>
    <definedName name="_xlnm.Print_Area" localSheetId="6">'Table 1.1.7'!$A$1:$Q$71</definedName>
    <definedName name="_xlnm.Print_Area" localSheetId="7">'Table 1.1.8'!$A$1:$AI$159</definedName>
    <definedName name="_xlnm.Print_Area" localSheetId="8">'Table 1.3'!$A$1:$L$112</definedName>
    <definedName name="_xlnm.Print_Area" localSheetId="9">'Table 1.3.1'!$A$1:$P$281</definedName>
    <definedName name="_xlnm.Print_Area" localSheetId="10">'Table 1.3.1.1'!$A$1:$L$141</definedName>
    <definedName name="_xlnm.Print_Area" localSheetId="11">'Table 1.3.3'!$A$1:$Q$269</definedName>
    <definedName name="_xlnm.Print_Area" localSheetId="12">'Table 1.5'!$A$1:$O$43</definedName>
    <definedName name="_xlnm.Print_Area" localSheetId="13">'Table 1.5.1'!$A$1:$M$109</definedName>
    <definedName name="Print_Area2">'[3]Growth rates'!$B$3:$M$61</definedName>
    <definedName name="print_area3" localSheetId="2">#REF!</definedName>
    <definedName name="print_area3" localSheetId="3">#REF!</definedName>
    <definedName name="print_area3" localSheetId="4">#REF!</definedName>
    <definedName name="print_area3" localSheetId="5">#REF!</definedName>
    <definedName name="print_area3" localSheetId="6">#REF!</definedName>
    <definedName name="print_area3" localSheetId="7">#REF!</definedName>
    <definedName name="print_area3" localSheetId="10">#REF!</definedName>
    <definedName name="print_area3" localSheetId="13">#REF!</definedName>
    <definedName name="print_area3">#REF!</definedName>
    <definedName name="_xlnm.Print_Titles" localSheetId="1">'Table 1.1.1'!$3:$6</definedName>
    <definedName name="_xlnm.Print_Titles" localSheetId="2">'Table 1.1.3'!$A:$A</definedName>
    <definedName name="_xlnm.Print_Titles" localSheetId="3">'Table 1.1.4'!$A:$A</definedName>
    <definedName name="_xlnm.Print_Titles" localSheetId="4">'Table 1.1.5'!$A:$A</definedName>
    <definedName name="_xlnm.Print_Titles" localSheetId="5">'Table 1.1.6'!$A:$A</definedName>
    <definedName name="_xlnm.Print_Titles" localSheetId="6">'Table 1.1.7'!$A:$A</definedName>
    <definedName name="_xlnm.Print_Titles" localSheetId="7">'Table 1.1.8'!$A:$A</definedName>
    <definedName name="_xlnm.Print_Titles">#N/A</definedName>
    <definedName name="SOG" localSheetId="2">#REF!</definedName>
    <definedName name="SOG" localSheetId="3">#REF!</definedName>
    <definedName name="SOG" localSheetId="4">#REF!</definedName>
    <definedName name="SOG" localSheetId="5">#REF!</definedName>
    <definedName name="SOG" localSheetId="6">#REF!</definedName>
    <definedName name="SOG" localSheetId="7">#REF!</definedName>
    <definedName name="SOG" localSheetId="10">#REF!</definedName>
    <definedName name="SOG" localSheetId="13">#REF!</definedName>
    <definedName name="SOG">#REF!</definedName>
  </definedNames>
  <calcPr calcId="145621"/>
</workbook>
</file>

<file path=xl/calcChain.xml><?xml version="1.0" encoding="utf-8"?>
<calcChain xmlns="http://schemas.openxmlformats.org/spreadsheetml/2006/main">
  <c r="A105" i="14" l="1"/>
  <c r="A104" i="14"/>
  <c r="A103" i="14"/>
  <c r="A102" i="14"/>
  <c r="L99" i="14"/>
  <c r="K99" i="14"/>
  <c r="A98" i="14"/>
  <c r="A97" i="14"/>
  <c r="A96" i="14"/>
  <c r="A95" i="14"/>
  <c r="A94" i="14"/>
  <c r="A93" i="14"/>
  <c r="A92" i="14"/>
  <c r="A91" i="14"/>
  <c r="A90" i="14"/>
  <c r="J89" i="14"/>
  <c r="B89" i="14"/>
  <c r="A89" i="14"/>
  <c r="K88" i="14"/>
  <c r="J88" i="14"/>
  <c r="B88" i="14"/>
  <c r="A88" i="14"/>
  <c r="K87" i="14"/>
  <c r="J87" i="14"/>
  <c r="B87" i="14"/>
  <c r="E87" i="14" s="1"/>
  <c r="A87" i="14"/>
  <c r="L86" i="14"/>
  <c r="K86" i="14"/>
  <c r="J86" i="14"/>
  <c r="B86" i="14"/>
  <c r="A86" i="14"/>
  <c r="K85" i="14"/>
  <c r="L85" i="14" s="1"/>
  <c r="J85" i="14"/>
  <c r="E85" i="14"/>
  <c r="B85" i="14"/>
  <c r="A85" i="14"/>
  <c r="K84" i="14"/>
  <c r="J84" i="14"/>
  <c r="M85" i="14" s="1"/>
  <c r="B84" i="14"/>
  <c r="A84" i="14"/>
  <c r="K83" i="14"/>
  <c r="J83" i="14"/>
  <c r="B83" i="14"/>
  <c r="A83" i="14"/>
  <c r="L82" i="14"/>
  <c r="K82" i="14"/>
  <c r="J82" i="14"/>
  <c r="B82" i="14"/>
  <c r="E83" i="14" s="1"/>
  <c r="A82" i="14"/>
  <c r="K81" i="14"/>
  <c r="L81" i="14" s="1"/>
  <c r="J81" i="14"/>
  <c r="E81" i="14"/>
  <c r="B81" i="14"/>
  <c r="A81" i="14"/>
  <c r="K80" i="14"/>
  <c r="J80" i="14"/>
  <c r="M81" i="14" s="1"/>
  <c r="B80" i="14"/>
  <c r="A80" i="14"/>
  <c r="K79" i="14"/>
  <c r="J79" i="14"/>
  <c r="B79" i="14"/>
  <c r="A79" i="14"/>
  <c r="L78" i="14"/>
  <c r="K78" i="14"/>
  <c r="J78" i="14"/>
  <c r="B78" i="14"/>
  <c r="E79" i="14" s="1"/>
  <c r="A78" i="14"/>
  <c r="K77" i="14"/>
  <c r="L77" i="14" s="1"/>
  <c r="J77" i="14"/>
  <c r="B77" i="14"/>
  <c r="A77" i="14"/>
  <c r="K76" i="14"/>
  <c r="M76" i="14" s="1"/>
  <c r="J76" i="14"/>
  <c r="M77" i="14" s="1"/>
  <c r="B76" i="14"/>
  <c r="A76" i="14"/>
  <c r="K75" i="14"/>
  <c r="J75" i="14"/>
  <c r="B75" i="14"/>
  <c r="A75" i="14"/>
  <c r="L74" i="14"/>
  <c r="K74" i="14"/>
  <c r="J74" i="14"/>
  <c r="B74" i="14"/>
  <c r="E75" i="14" s="1"/>
  <c r="A74" i="14"/>
  <c r="K73" i="14"/>
  <c r="L73" i="14" s="1"/>
  <c r="J73" i="14"/>
  <c r="B73" i="14"/>
  <c r="A73" i="14"/>
  <c r="K72" i="14"/>
  <c r="J72" i="14"/>
  <c r="M73" i="14" s="1"/>
  <c r="B72" i="14"/>
  <c r="A72" i="14"/>
  <c r="K71" i="14"/>
  <c r="J71" i="14"/>
  <c r="B71" i="14"/>
  <c r="A71" i="14"/>
  <c r="L70" i="14"/>
  <c r="K70" i="14"/>
  <c r="J70" i="14"/>
  <c r="B70" i="14"/>
  <c r="E71" i="14" s="1"/>
  <c r="A70" i="14"/>
  <c r="K69" i="14"/>
  <c r="L69" i="14" s="1"/>
  <c r="J69" i="14"/>
  <c r="B69" i="14"/>
  <c r="A69" i="14"/>
  <c r="K68" i="14"/>
  <c r="J68" i="14"/>
  <c r="M69" i="14" s="1"/>
  <c r="B68" i="14"/>
  <c r="A68" i="14"/>
  <c r="K67" i="14"/>
  <c r="J67" i="14"/>
  <c r="B67" i="14"/>
  <c r="A67" i="14"/>
  <c r="L66" i="14"/>
  <c r="K66" i="14"/>
  <c r="J66" i="14"/>
  <c r="B66" i="14"/>
  <c r="E67" i="14" s="1"/>
  <c r="A66" i="14"/>
  <c r="K65" i="14"/>
  <c r="J65" i="14"/>
  <c r="E65" i="14"/>
  <c r="B65" i="14"/>
  <c r="A65" i="14"/>
  <c r="K64" i="14"/>
  <c r="J64" i="14"/>
  <c r="B64" i="14"/>
  <c r="A64" i="14"/>
  <c r="L63" i="14"/>
  <c r="K63" i="14"/>
  <c r="J63" i="14"/>
  <c r="B63" i="14"/>
  <c r="E64" i="14" s="1"/>
  <c r="A63" i="14"/>
  <c r="M62" i="14"/>
  <c r="K62" i="14"/>
  <c r="L62" i="14" s="1"/>
  <c r="J62" i="14"/>
  <c r="E62" i="14"/>
  <c r="B62" i="14"/>
  <c r="A62" i="14"/>
  <c r="K61" i="14"/>
  <c r="J61" i="14"/>
  <c r="B61" i="14"/>
  <c r="A61" i="14"/>
  <c r="K60" i="14"/>
  <c r="J60" i="14"/>
  <c r="B60" i="14"/>
  <c r="A60" i="14"/>
  <c r="L59" i="14"/>
  <c r="K59" i="14"/>
  <c r="J59" i="14"/>
  <c r="B59" i="14"/>
  <c r="E60" i="14" s="1"/>
  <c r="A59" i="14"/>
  <c r="K58" i="14"/>
  <c r="L58" i="14" s="1"/>
  <c r="J58" i="14"/>
  <c r="E58" i="14"/>
  <c r="B58" i="14"/>
  <c r="A58" i="14"/>
  <c r="K57" i="14"/>
  <c r="M57" i="14" s="1"/>
  <c r="J57" i="14"/>
  <c r="M58" i="14" s="1"/>
  <c r="B57" i="14"/>
  <c r="A57" i="14"/>
  <c r="K56" i="14"/>
  <c r="J56" i="14"/>
  <c r="B56" i="14"/>
  <c r="A56" i="14"/>
  <c r="L55" i="14"/>
  <c r="K55" i="14"/>
  <c r="J55" i="14"/>
  <c r="B55" i="14"/>
  <c r="E56" i="14" s="1"/>
  <c r="A55" i="14"/>
  <c r="K54" i="14"/>
  <c r="L54" i="14" s="1"/>
  <c r="J54" i="14"/>
  <c r="B54" i="14"/>
  <c r="A54" i="14"/>
  <c r="K53" i="14"/>
  <c r="J53" i="14"/>
  <c r="M54" i="14" s="1"/>
  <c r="B53" i="14"/>
  <c r="A53" i="14"/>
  <c r="K52" i="14"/>
  <c r="J52" i="14"/>
  <c r="B52" i="14"/>
  <c r="A52" i="14"/>
  <c r="L51" i="14"/>
  <c r="K51" i="14"/>
  <c r="J51" i="14"/>
  <c r="B51" i="14"/>
  <c r="E52" i="14" s="1"/>
  <c r="A51" i="14"/>
  <c r="K50" i="14"/>
  <c r="L50" i="14" s="1"/>
  <c r="J50" i="14"/>
  <c r="B50" i="14"/>
  <c r="A50" i="14"/>
  <c r="K49" i="14"/>
  <c r="M49" i="14" s="1"/>
  <c r="J49" i="14"/>
  <c r="M50" i="14" s="1"/>
  <c r="B49" i="14"/>
  <c r="E50" i="14" s="1"/>
  <c r="A49" i="14"/>
  <c r="K48" i="14"/>
  <c r="J48" i="14"/>
  <c r="B48" i="14"/>
  <c r="A48" i="14"/>
  <c r="L47" i="14"/>
  <c r="K47" i="14"/>
  <c r="J47" i="14"/>
  <c r="B47" i="14"/>
  <c r="E48" i="14" s="1"/>
  <c r="A47" i="14"/>
  <c r="M46" i="14"/>
  <c r="K46" i="14"/>
  <c r="L46" i="14" s="1"/>
  <c r="J46" i="14"/>
  <c r="E46" i="14"/>
  <c r="B46" i="14"/>
  <c r="A46" i="14"/>
  <c r="K45" i="14"/>
  <c r="J45" i="14"/>
  <c r="B45" i="14"/>
  <c r="A45" i="14"/>
  <c r="K44" i="14"/>
  <c r="J44" i="14"/>
  <c r="B44" i="14"/>
  <c r="A44" i="14"/>
  <c r="L43" i="14"/>
  <c r="K43" i="14"/>
  <c r="J43" i="14"/>
  <c r="B43" i="14"/>
  <c r="E44" i="14" s="1"/>
  <c r="A43" i="14"/>
  <c r="K42" i="14"/>
  <c r="L42" i="14" s="1"/>
  <c r="J42" i="14"/>
  <c r="E42" i="14"/>
  <c r="B42" i="14"/>
  <c r="A42" i="14"/>
  <c r="K41" i="14"/>
  <c r="M41" i="14" s="1"/>
  <c r="J41" i="14"/>
  <c r="M42" i="14" s="1"/>
  <c r="B41" i="14"/>
  <c r="A41" i="14"/>
  <c r="K40" i="14"/>
  <c r="J40" i="14"/>
  <c r="B40" i="14"/>
  <c r="A40" i="14"/>
  <c r="K39" i="14"/>
  <c r="J39" i="14"/>
  <c r="L39" i="14" s="1"/>
  <c r="B39" i="14"/>
  <c r="E40" i="14" s="1"/>
  <c r="A39" i="14"/>
  <c r="M38" i="14"/>
  <c r="K38" i="14"/>
  <c r="J38" i="14"/>
  <c r="B38" i="14"/>
  <c r="E39" i="14" s="1"/>
  <c r="A38" i="14"/>
  <c r="K37" i="14"/>
  <c r="J37" i="14"/>
  <c r="L37" i="14" s="1"/>
  <c r="B37" i="14"/>
  <c r="E37" i="14" s="1"/>
  <c r="A37" i="14"/>
  <c r="J36" i="14"/>
  <c r="B36" i="14"/>
  <c r="A36" i="14"/>
  <c r="J35" i="14"/>
  <c r="B35" i="14"/>
  <c r="A35" i="14"/>
  <c r="J34" i="14"/>
  <c r="B34" i="14"/>
  <c r="A34" i="14"/>
  <c r="J33" i="14"/>
  <c r="B33" i="14"/>
  <c r="A33" i="14"/>
  <c r="J32" i="14"/>
  <c r="B32" i="14"/>
  <c r="A32" i="14"/>
  <c r="J31" i="14"/>
  <c r="E31" i="14"/>
  <c r="B31" i="14"/>
  <c r="E32" i="14" s="1"/>
  <c r="A31" i="14"/>
  <c r="J30" i="14"/>
  <c r="B30" i="14"/>
  <c r="A30" i="14"/>
  <c r="J29" i="14"/>
  <c r="B29" i="14"/>
  <c r="A29" i="14"/>
  <c r="J28" i="14"/>
  <c r="B28" i="14"/>
  <c r="E28" i="14" s="1"/>
  <c r="A28" i="14"/>
  <c r="J27" i="14"/>
  <c r="E27" i="14"/>
  <c r="B27" i="14"/>
  <c r="A27" i="14"/>
  <c r="J26" i="14"/>
  <c r="B26" i="14"/>
  <c r="A26" i="14"/>
  <c r="J25" i="14"/>
  <c r="B25" i="14"/>
  <c r="A25" i="14"/>
  <c r="J24" i="14"/>
  <c r="B24" i="14"/>
  <c r="E25" i="14" s="1"/>
  <c r="A24" i="14"/>
  <c r="J23" i="14"/>
  <c r="B23" i="14"/>
  <c r="A23" i="14"/>
  <c r="J22" i="14"/>
  <c r="B22" i="14"/>
  <c r="A22" i="14"/>
  <c r="J21" i="14"/>
  <c r="B21" i="14"/>
  <c r="A21" i="14"/>
  <c r="J20" i="14"/>
  <c r="B20" i="14"/>
  <c r="E21" i="14" s="1"/>
  <c r="A20" i="14"/>
  <c r="J19" i="14"/>
  <c r="E19" i="14"/>
  <c r="B19" i="14"/>
  <c r="A19" i="14"/>
  <c r="J18" i="14"/>
  <c r="B18" i="14"/>
  <c r="A18" i="14"/>
  <c r="J17" i="14"/>
  <c r="B17" i="14"/>
  <c r="A17" i="14"/>
  <c r="J16" i="14"/>
  <c r="B16" i="14"/>
  <c r="E17" i="14" s="1"/>
  <c r="A16" i="14"/>
  <c r="J15" i="14"/>
  <c r="B15" i="14"/>
  <c r="A15" i="14"/>
  <c r="J14" i="14"/>
  <c r="B14" i="14"/>
  <c r="A14" i="14"/>
  <c r="J13" i="14"/>
  <c r="B13" i="14"/>
  <c r="A13" i="14"/>
  <c r="J12" i="14"/>
  <c r="B12" i="14"/>
  <c r="A12" i="14"/>
  <c r="J11" i="14"/>
  <c r="B11" i="14"/>
  <c r="A11" i="14"/>
  <c r="J10" i="14"/>
  <c r="B10" i="14"/>
  <c r="E10" i="14" s="1"/>
  <c r="A10" i="14"/>
  <c r="J9" i="14"/>
  <c r="B9" i="14"/>
  <c r="A9" i="14"/>
  <c r="J8" i="14"/>
  <c r="B8" i="14"/>
  <c r="E8" i="14" s="1"/>
  <c r="A8" i="14"/>
  <c r="J7" i="14"/>
  <c r="E7" i="14"/>
  <c r="B7" i="14"/>
  <c r="A7" i="14"/>
  <c r="J6" i="14"/>
  <c r="B6" i="14"/>
  <c r="A6" i="14"/>
  <c r="A39" i="13"/>
  <c r="A38" i="13"/>
  <c r="A37" i="13"/>
  <c r="A36" i="13"/>
  <c r="I33" i="13"/>
  <c r="I27" i="13"/>
  <c r="E27" i="13"/>
  <c r="L26" i="13"/>
  <c r="J26" i="13"/>
  <c r="I26" i="13"/>
  <c r="F26" i="13"/>
  <c r="E26" i="13"/>
  <c r="J25" i="13"/>
  <c r="J31" i="13" s="1"/>
  <c r="I25" i="13"/>
  <c r="L25" i="13" s="1"/>
  <c r="F25" i="13"/>
  <c r="F31" i="13" s="1"/>
  <c r="E25" i="13"/>
  <c r="J24" i="13"/>
  <c r="I24" i="13"/>
  <c r="F24" i="13"/>
  <c r="E24" i="13"/>
  <c r="J23" i="13"/>
  <c r="L23" i="13" s="1"/>
  <c r="I23" i="13"/>
  <c r="F23" i="13"/>
  <c r="E23" i="13"/>
  <c r="J22" i="13"/>
  <c r="I22" i="13"/>
  <c r="L22" i="13" s="1"/>
  <c r="F22" i="13"/>
  <c r="E22" i="13"/>
  <c r="J21" i="13"/>
  <c r="L21" i="13" s="1"/>
  <c r="I21" i="13"/>
  <c r="F21" i="13"/>
  <c r="E21" i="13"/>
  <c r="J20" i="13"/>
  <c r="I20" i="13"/>
  <c r="F20" i="13"/>
  <c r="F29" i="13" s="1"/>
  <c r="E30" i="13" s="1"/>
  <c r="E20" i="13"/>
  <c r="L19" i="13"/>
  <c r="J19" i="13"/>
  <c r="I19" i="13"/>
  <c r="F19" i="13"/>
  <c r="E19" i="13"/>
  <c r="J18" i="13"/>
  <c r="I18" i="13"/>
  <c r="F18" i="13"/>
  <c r="E18" i="13"/>
  <c r="J17" i="13"/>
  <c r="I17" i="13"/>
  <c r="I29" i="13" s="1"/>
  <c r="I31" i="13" s="1"/>
  <c r="I32" i="13" s="1"/>
  <c r="F17" i="13"/>
  <c r="E17" i="13"/>
  <c r="E29" i="13" s="1"/>
  <c r="E31" i="13" s="1"/>
  <c r="E32" i="13" s="1"/>
  <c r="I15" i="13"/>
  <c r="E15" i="13"/>
  <c r="L14" i="13"/>
  <c r="J14" i="13"/>
  <c r="I14" i="13"/>
  <c r="F14" i="13"/>
  <c r="E14" i="13"/>
  <c r="J13" i="13"/>
  <c r="L13" i="13" s="1"/>
  <c r="I13" i="13"/>
  <c r="F13" i="13"/>
  <c r="E13" i="13"/>
  <c r="J12" i="13"/>
  <c r="L12" i="13" s="1"/>
  <c r="I12" i="13"/>
  <c r="F12" i="13"/>
  <c r="E12" i="13"/>
  <c r="J11" i="13"/>
  <c r="I11" i="13"/>
  <c r="L11" i="13" s="1"/>
  <c r="F11" i="13"/>
  <c r="E11" i="13"/>
  <c r="L10" i="13"/>
  <c r="J10" i="13"/>
  <c r="I10" i="13"/>
  <c r="F10" i="13"/>
  <c r="E10" i="13"/>
  <c r="J9" i="13"/>
  <c r="I9" i="13"/>
  <c r="F9" i="13"/>
  <c r="E9" i="13"/>
  <c r="J8" i="13"/>
  <c r="I8" i="13"/>
  <c r="F8" i="13"/>
  <c r="E8" i="13"/>
  <c r="L7" i="13"/>
  <c r="J7" i="13"/>
  <c r="I7" i="13"/>
  <c r="F7" i="13"/>
  <c r="E7" i="13"/>
  <c r="B248" i="12"/>
  <c r="B247" i="12"/>
  <c r="B246" i="12"/>
  <c r="B245" i="12"/>
  <c r="F243" i="12"/>
  <c r="F242" i="12"/>
  <c r="F241" i="12"/>
  <c r="F240" i="12"/>
  <c r="F239" i="12"/>
  <c r="F238" i="12"/>
  <c r="F237" i="12"/>
  <c r="F236" i="12"/>
  <c r="F235" i="12"/>
  <c r="H234" i="12"/>
  <c r="F234" i="12"/>
  <c r="E234" i="12"/>
  <c r="D234" i="12"/>
  <c r="H233" i="12"/>
  <c r="D233" i="12"/>
  <c r="E233" i="12" s="1"/>
  <c r="B229" i="12"/>
  <c r="B228" i="12"/>
  <c r="B227" i="12"/>
  <c r="B226" i="12"/>
  <c r="B225" i="12"/>
  <c r="B224" i="12"/>
  <c r="B223" i="12"/>
  <c r="B222" i="12"/>
  <c r="G220" i="12"/>
  <c r="G219" i="12"/>
  <c r="G218" i="12"/>
  <c r="G217" i="12"/>
  <c r="G216" i="12"/>
  <c r="G215" i="12"/>
  <c r="G214" i="12"/>
  <c r="G213" i="12"/>
  <c r="G212" i="12"/>
  <c r="G211" i="12"/>
  <c r="D211" i="12"/>
  <c r="H210" i="12"/>
  <c r="I210" i="12" s="1"/>
  <c r="G210" i="12"/>
  <c r="I211" i="12" s="1"/>
  <c r="D210" i="12"/>
  <c r="C210" i="12"/>
  <c r="H209" i="12"/>
  <c r="I209" i="12" s="1"/>
  <c r="G209" i="12"/>
  <c r="D209" i="12"/>
  <c r="C209" i="12"/>
  <c r="H208" i="12"/>
  <c r="I208" i="12" s="1"/>
  <c r="G208" i="12"/>
  <c r="D208" i="12"/>
  <c r="C208" i="12"/>
  <c r="H207" i="12"/>
  <c r="I207" i="12" s="1"/>
  <c r="G207" i="12"/>
  <c r="D207" i="12"/>
  <c r="C207" i="12"/>
  <c r="H206" i="12"/>
  <c r="I206" i="12" s="1"/>
  <c r="G206" i="12"/>
  <c r="D206" i="12"/>
  <c r="C206" i="12"/>
  <c r="H205" i="12"/>
  <c r="I205" i="12" s="1"/>
  <c r="G205" i="12"/>
  <c r="D205" i="12"/>
  <c r="C205" i="12"/>
  <c r="B201" i="12"/>
  <c r="B200" i="12"/>
  <c r="B199" i="12"/>
  <c r="B198" i="12"/>
  <c r="B197" i="12"/>
  <c r="B196" i="12"/>
  <c r="B195" i="12"/>
  <c r="J193" i="12"/>
  <c r="I193" i="12"/>
  <c r="G193" i="12"/>
  <c r="F193" i="12"/>
  <c r="J192" i="12"/>
  <c r="I192" i="12"/>
  <c r="G192" i="12"/>
  <c r="F192" i="12"/>
  <c r="J191" i="12"/>
  <c r="I191" i="12"/>
  <c r="G191" i="12"/>
  <c r="F191" i="12"/>
  <c r="J190" i="12"/>
  <c r="F190" i="12"/>
  <c r="F189" i="12"/>
  <c r="F188" i="12"/>
  <c r="F187" i="12"/>
  <c r="F186" i="12"/>
  <c r="F185" i="12"/>
  <c r="F184" i="12"/>
  <c r="F183" i="12"/>
  <c r="F182" i="12"/>
  <c r="F181" i="12"/>
  <c r="F180" i="12"/>
  <c r="F179" i="12"/>
  <c r="F178" i="12"/>
  <c r="F177" i="12"/>
  <c r="F176" i="12"/>
  <c r="F175" i="12"/>
  <c r="F174" i="12"/>
  <c r="F173" i="12"/>
  <c r="F172" i="12"/>
  <c r="F171" i="12"/>
  <c r="F170" i="12"/>
  <c r="B166" i="12"/>
  <c r="B165" i="12"/>
  <c r="B164" i="12"/>
  <c r="B163" i="12"/>
  <c r="B162" i="12"/>
  <c r="E154" i="12"/>
  <c r="G152" i="12"/>
  <c r="G153" i="12" s="1"/>
  <c r="E152" i="12"/>
  <c r="E153" i="12" s="1"/>
  <c r="G151" i="12"/>
  <c r="E151" i="12"/>
  <c r="G150" i="12"/>
  <c r="E150" i="12"/>
  <c r="G149" i="12"/>
  <c r="E149" i="12"/>
  <c r="G148" i="12"/>
  <c r="E148" i="12"/>
  <c r="G147" i="12"/>
  <c r="E147" i="12"/>
  <c r="G146" i="12"/>
  <c r="E146" i="12"/>
  <c r="G145" i="12"/>
  <c r="E145" i="12"/>
  <c r="B141" i="12"/>
  <c r="B140" i="12"/>
  <c r="B139" i="12"/>
  <c r="A119" i="12"/>
  <c r="A118" i="12"/>
  <c r="A117" i="12"/>
  <c r="A116" i="12"/>
  <c r="A115" i="12"/>
  <c r="A114" i="12"/>
  <c r="A113" i="12"/>
  <c r="A112" i="12"/>
  <c r="A111" i="12"/>
  <c r="A110" i="12"/>
  <c r="A109" i="12"/>
  <c r="A108" i="12"/>
  <c r="A107" i="12"/>
  <c r="A106" i="12"/>
  <c r="A105" i="12"/>
  <c r="A104" i="12"/>
  <c r="N92" i="12"/>
  <c r="N93" i="12" s="1"/>
  <c r="F92" i="12"/>
  <c r="Q91" i="12"/>
  <c r="Q92" i="12" s="1"/>
  <c r="Q93" i="12" s="1"/>
  <c r="Q94" i="12" s="1"/>
  <c r="Q95" i="12" s="1"/>
  <c r="Q96" i="12" s="1"/>
  <c r="Q97" i="12" s="1"/>
  <c r="Q98" i="12" s="1"/>
  <c r="Q99" i="12" s="1"/>
  <c r="P91" i="12"/>
  <c r="P92" i="12" s="1"/>
  <c r="P93" i="12" s="1"/>
  <c r="P94" i="12" s="1"/>
  <c r="P95" i="12" s="1"/>
  <c r="P96" i="12" s="1"/>
  <c r="P97" i="12" s="1"/>
  <c r="P98" i="12" s="1"/>
  <c r="P99" i="12" s="1"/>
  <c r="N91" i="12"/>
  <c r="L91" i="12"/>
  <c r="F91" i="12"/>
  <c r="C90" i="12"/>
  <c r="H89" i="12"/>
  <c r="G89" i="12"/>
  <c r="C89" i="12"/>
  <c r="K88" i="12"/>
  <c r="M88" i="12" s="1"/>
  <c r="H88" i="12"/>
  <c r="G88" i="12"/>
  <c r="C88" i="12"/>
  <c r="H87" i="12"/>
  <c r="K87" i="12" s="1"/>
  <c r="M87" i="12" s="1"/>
  <c r="G87" i="12"/>
  <c r="C87" i="12"/>
  <c r="H86" i="12"/>
  <c r="G86" i="12"/>
  <c r="K86" i="12" s="1"/>
  <c r="M86" i="12" s="1"/>
  <c r="C86" i="12"/>
  <c r="H85" i="12"/>
  <c r="G85" i="12"/>
  <c r="K85" i="12" s="1"/>
  <c r="M85" i="12" s="1"/>
  <c r="C85" i="12"/>
  <c r="K84" i="12"/>
  <c r="M84" i="12" s="1"/>
  <c r="H84" i="12"/>
  <c r="G84" i="12"/>
  <c r="C84" i="12"/>
  <c r="H83" i="12"/>
  <c r="K83" i="12" s="1"/>
  <c r="M83" i="12" s="1"/>
  <c r="G83" i="12"/>
  <c r="C83" i="12"/>
  <c r="H82" i="12"/>
  <c r="G82" i="12"/>
  <c r="K82" i="12" s="1"/>
  <c r="M82" i="12" s="1"/>
  <c r="C82" i="12"/>
  <c r="H81" i="12"/>
  <c r="G81" i="12"/>
  <c r="C81" i="12"/>
  <c r="K80" i="12"/>
  <c r="M80" i="12" s="1"/>
  <c r="H80" i="12"/>
  <c r="G80" i="12"/>
  <c r="C80" i="12"/>
  <c r="H79" i="12"/>
  <c r="K79" i="12" s="1"/>
  <c r="M79" i="12" s="1"/>
  <c r="G79" i="12"/>
  <c r="C79" i="12"/>
  <c r="H78" i="12"/>
  <c r="G78" i="12"/>
  <c r="K78" i="12" s="1"/>
  <c r="M78" i="12" s="1"/>
  <c r="C78" i="12"/>
  <c r="H77" i="12"/>
  <c r="G77" i="12"/>
  <c r="K77" i="12" s="1"/>
  <c r="M77" i="12" s="1"/>
  <c r="C77" i="12"/>
  <c r="K76" i="12"/>
  <c r="M76" i="12" s="1"/>
  <c r="H76" i="12"/>
  <c r="G76" i="12"/>
  <c r="C76" i="12"/>
  <c r="H75" i="12"/>
  <c r="K75" i="12" s="1"/>
  <c r="M75" i="12" s="1"/>
  <c r="G75" i="12"/>
  <c r="C75" i="12"/>
  <c r="H74" i="12"/>
  <c r="G74" i="12"/>
  <c r="K74" i="12" s="1"/>
  <c r="M74" i="12" s="1"/>
  <c r="C74" i="12"/>
  <c r="H73" i="12"/>
  <c r="G73" i="12"/>
  <c r="C73" i="12"/>
  <c r="K72" i="12"/>
  <c r="M72" i="12" s="1"/>
  <c r="H72" i="12"/>
  <c r="G72" i="12"/>
  <c r="C72" i="12"/>
  <c r="H71" i="12"/>
  <c r="K71" i="12" s="1"/>
  <c r="M71" i="12" s="1"/>
  <c r="G71" i="12"/>
  <c r="C71" i="12"/>
  <c r="H70" i="12"/>
  <c r="G70" i="12"/>
  <c r="K70" i="12" s="1"/>
  <c r="M70" i="12" s="1"/>
  <c r="C70" i="12"/>
  <c r="H69" i="12"/>
  <c r="G69" i="12"/>
  <c r="K69" i="12" s="1"/>
  <c r="M69" i="12" s="1"/>
  <c r="C69" i="12"/>
  <c r="K68" i="12"/>
  <c r="M68" i="12" s="1"/>
  <c r="H68" i="12"/>
  <c r="G68" i="12"/>
  <c r="C68" i="12"/>
  <c r="H67" i="12"/>
  <c r="K67" i="12" s="1"/>
  <c r="M67" i="12" s="1"/>
  <c r="G67" i="12"/>
  <c r="C67" i="12"/>
  <c r="H66" i="12"/>
  <c r="G66" i="12"/>
  <c r="K66" i="12" s="1"/>
  <c r="M66" i="12" s="1"/>
  <c r="C66" i="12"/>
  <c r="H65" i="12"/>
  <c r="G65" i="12"/>
  <c r="C65" i="12"/>
  <c r="G64" i="12"/>
  <c r="G63" i="12" s="1"/>
  <c r="C64" i="12"/>
  <c r="C63" i="12"/>
  <c r="G62" i="12"/>
  <c r="C62" i="12"/>
  <c r="C61" i="12"/>
  <c r="C60" i="12"/>
  <c r="C59" i="12"/>
  <c r="C58" i="12"/>
  <c r="C57" i="12"/>
  <c r="C56" i="12"/>
  <c r="C55" i="12"/>
  <c r="C54" i="12"/>
  <c r="C53" i="12"/>
  <c r="C52" i="12"/>
  <c r="C51" i="12"/>
  <c r="C50" i="12"/>
  <c r="C49" i="12"/>
  <c r="C48" i="12"/>
  <c r="C47" i="12"/>
  <c r="C46" i="12"/>
  <c r="C45" i="12"/>
  <c r="C44" i="12"/>
  <c r="M43" i="12"/>
  <c r="K43" i="12"/>
  <c r="C43" i="12"/>
  <c r="K42" i="12"/>
  <c r="M42" i="12" s="1"/>
  <c r="C42" i="12"/>
  <c r="M41" i="12"/>
  <c r="K41" i="12"/>
  <c r="C41" i="12"/>
  <c r="K40" i="12"/>
  <c r="M40" i="12" s="1"/>
  <c r="C40" i="12"/>
  <c r="M39" i="12"/>
  <c r="K39" i="12"/>
  <c r="C39" i="12"/>
  <c r="K38" i="12"/>
  <c r="M38" i="12" s="1"/>
  <c r="C38" i="12"/>
  <c r="M37" i="12"/>
  <c r="K37" i="12"/>
  <c r="C37" i="12"/>
  <c r="K36" i="12"/>
  <c r="M36" i="12" s="1"/>
  <c r="C36" i="12"/>
  <c r="M35" i="12"/>
  <c r="K35" i="12"/>
  <c r="C35" i="12"/>
  <c r="K34" i="12"/>
  <c r="M34" i="12" s="1"/>
  <c r="C34" i="12"/>
  <c r="M33" i="12"/>
  <c r="K33" i="12"/>
  <c r="C33" i="12"/>
  <c r="K32" i="12"/>
  <c r="M32" i="12" s="1"/>
  <c r="C32" i="12"/>
  <c r="M31" i="12"/>
  <c r="K31" i="12"/>
  <c r="C31" i="12"/>
  <c r="K30" i="12"/>
  <c r="M30" i="12" s="1"/>
  <c r="C30" i="12"/>
  <c r="M29" i="12"/>
  <c r="K29" i="12"/>
  <c r="C29" i="12"/>
  <c r="K28" i="12"/>
  <c r="M28" i="12" s="1"/>
  <c r="C28" i="12"/>
  <c r="M27" i="12"/>
  <c r="K27" i="12"/>
  <c r="C27" i="12"/>
  <c r="K26" i="12"/>
  <c r="M26" i="12" s="1"/>
  <c r="C26" i="12"/>
  <c r="M25" i="12"/>
  <c r="K25" i="12"/>
  <c r="C25" i="12"/>
  <c r="K24" i="12"/>
  <c r="M24" i="12" s="1"/>
  <c r="C24" i="12"/>
  <c r="M23" i="12"/>
  <c r="K23" i="12"/>
  <c r="C23" i="12"/>
  <c r="K22" i="12"/>
  <c r="M22" i="12" s="1"/>
  <c r="C22" i="12"/>
  <c r="M21" i="12"/>
  <c r="K21" i="12"/>
  <c r="C21" i="12"/>
  <c r="K20" i="12"/>
  <c r="M20" i="12" s="1"/>
  <c r="C20" i="12"/>
  <c r="M19" i="12"/>
  <c r="K19" i="12"/>
  <c r="C19" i="12"/>
  <c r="K18" i="12"/>
  <c r="M18" i="12" s="1"/>
  <c r="C18" i="12"/>
  <c r="M17" i="12"/>
  <c r="K17" i="12"/>
  <c r="C17" i="12"/>
  <c r="K16" i="12"/>
  <c r="M16" i="12" s="1"/>
  <c r="C16" i="12"/>
  <c r="M15" i="12"/>
  <c r="K15" i="12"/>
  <c r="C15" i="12"/>
  <c r="K14" i="12"/>
  <c r="M14" i="12" s="1"/>
  <c r="C14" i="12"/>
  <c r="M13" i="12"/>
  <c r="K13" i="12"/>
  <c r="C13" i="12"/>
  <c r="K12" i="12"/>
  <c r="M12" i="12" s="1"/>
  <c r="C12" i="12"/>
  <c r="M11" i="12"/>
  <c r="K11" i="12"/>
  <c r="C11" i="12"/>
  <c r="K10" i="12"/>
  <c r="M10" i="12" s="1"/>
  <c r="C10" i="12"/>
  <c r="M9" i="12"/>
  <c r="K9" i="12"/>
  <c r="C9" i="12"/>
  <c r="K8" i="12"/>
  <c r="M8" i="12" s="1"/>
  <c r="C8" i="12"/>
  <c r="M7" i="12"/>
  <c r="K7" i="12"/>
  <c r="C7" i="12"/>
  <c r="B134" i="11"/>
  <c r="B133" i="11"/>
  <c r="D123" i="11"/>
  <c r="A114" i="11"/>
  <c r="A113" i="11"/>
  <c r="A112" i="11"/>
  <c r="A111" i="11"/>
  <c r="A110" i="11"/>
  <c r="A109" i="11"/>
  <c r="A108" i="11"/>
  <c r="A107" i="11"/>
  <c r="A106" i="11"/>
  <c r="A105" i="11"/>
  <c r="A104" i="11"/>
  <c r="E92" i="11"/>
  <c r="H91" i="11"/>
  <c r="E91" i="11"/>
  <c r="H90" i="11"/>
  <c r="E90" i="11"/>
  <c r="E89" i="11"/>
  <c r="H89" i="11" s="1"/>
  <c r="E88" i="11"/>
  <c r="E87" i="11"/>
  <c r="H87" i="11" s="1"/>
  <c r="E86" i="11"/>
  <c r="E85" i="11"/>
  <c r="H85" i="11" s="1"/>
  <c r="E84" i="11"/>
  <c r="E83" i="11"/>
  <c r="H83" i="11" s="1"/>
  <c r="E82" i="11"/>
  <c r="E81" i="11"/>
  <c r="H81" i="11" s="1"/>
  <c r="E80" i="11"/>
  <c r="E79" i="11"/>
  <c r="H79" i="11" s="1"/>
  <c r="E78" i="11"/>
  <c r="E77" i="11"/>
  <c r="H77" i="11" s="1"/>
  <c r="E76" i="11"/>
  <c r="E75" i="11"/>
  <c r="H75" i="11" s="1"/>
  <c r="E74" i="11"/>
  <c r="E73" i="11"/>
  <c r="H73" i="11" s="1"/>
  <c r="E72" i="11"/>
  <c r="E71" i="11"/>
  <c r="H71" i="11" s="1"/>
  <c r="E70" i="11"/>
  <c r="E69" i="11"/>
  <c r="H69" i="11" s="1"/>
  <c r="E68" i="11"/>
  <c r="E67" i="11"/>
  <c r="H67" i="11" s="1"/>
  <c r="E66" i="11"/>
  <c r="E65" i="11"/>
  <c r="H65" i="11" s="1"/>
  <c r="E64" i="11"/>
  <c r="H64" i="11" s="1"/>
  <c r="E63" i="11"/>
  <c r="H63" i="11" s="1"/>
  <c r="E62" i="11"/>
  <c r="H62" i="11" s="1"/>
  <c r="E61" i="11"/>
  <c r="H61" i="11" s="1"/>
  <c r="E60" i="11"/>
  <c r="H60" i="11" s="1"/>
  <c r="E59" i="11"/>
  <c r="H59" i="11" s="1"/>
  <c r="E58" i="11"/>
  <c r="H58" i="11" s="1"/>
  <c r="E57" i="11"/>
  <c r="H57" i="11" s="1"/>
  <c r="H56" i="11"/>
  <c r="E56" i="11"/>
  <c r="E55" i="11"/>
  <c r="H55" i="11" s="1"/>
  <c r="D54" i="11"/>
  <c r="C54" i="11"/>
  <c r="E54" i="11" s="1"/>
  <c r="H54" i="11" s="1"/>
  <c r="E53" i="11"/>
  <c r="E52" i="11"/>
  <c r="H52" i="11" s="1"/>
  <c r="E51" i="11"/>
  <c r="E50" i="11"/>
  <c r="H50" i="11" s="1"/>
  <c r="E49" i="11"/>
  <c r="E48" i="11"/>
  <c r="H48" i="11" s="1"/>
  <c r="E47" i="11"/>
  <c r="E46" i="11"/>
  <c r="H46" i="11" s="1"/>
  <c r="E45" i="11"/>
  <c r="E44" i="11"/>
  <c r="H44" i="11" s="1"/>
  <c r="E43" i="11"/>
  <c r="H43" i="11" s="1"/>
  <c r="F43" i="11" s="1"/>
  <c r="H42" i="11"/>
  <c r="F42" i="11" s="1"/>
  <c r="E42" i="11"/>
  <c r="H41" i="11"/>
  <c r="F41" i="11"/>
  <c r="E41" i="11"/>
  <c r="H40" i="11"/>
  <c r="F40" i="11"/>
  <c r="E40" i="11"/>
  <c r="E39" i="11"/>
  <c r="E38" i="11"/>
  <c r="H37" i="11"/>
  <c r="F37" i="11"/>
  <c r="E37" i="11"/>
  <c r="F36" i="11"/>
  <c r="E36" i="11"/>
  <c r="H36" i="11" s="1"/>
  <c r="E35" i="11"/>
  <c r="H35" i="11" s="1"/>
  <c r="F35" i="11" s="1"/>
  <c r="H34" i="11"/>
  <c r="F34" i="11" s="1"/>
  <c r="E34" i="11"/>
  <c r="H33" i="11"/>
  <c r="F33" i="11"/>
  <c r="E33" i="11"/>
  <c r="H32" i="11"/>
  <c r="F32" i="11"/>
  <c r="E32" i="11"/>
  <c r="E31" i="11"/>
  <c r="E30" i="11"/>
  <c r="H29" i="11"/>
  <c r="F29" i="11"/>
  <c r="E29" i="11"/>
  <c r="F28" i="11"/>
  <c r="E28" i="11"/>
  <c r="H28" i="11" s="1"/>
  <c r="E27" i="11"/>
  <c r="H27" i="11" s="1"/>
  <c r="F27" i="11" s="1"/>
  <c r="H26" i="11"/>
  <c r="F26" i="11" s="1"/>
  <c r="E26" i="11"/>
  <c r="H25" i="11"/>
  <c r="F25" i="11"/>
  <c r="E25" i="11"/>
  <c r="H24" i="11"/>
  <c r="F24" i="11"/>
  <c r="E24" i="11"/>
  <c r="E23" i="11"/>
  <c r="E22" i="11"/>
  <c r="H21" i="11"/>
  <c r="F21" i="11"/>
  <c r="E21" i="11"/>
  <c r="F20" i="11"/>
  <c r="E20" i="11"/>
  <c r="H20" i="11" s="1"/>
  <c r="E19" i="11"/>
  <c r="H19" i="11" s="1"/>
  <c r="F19" i="11" s="1"/>
  <c r="H18" i="11"/>
  <c r="F18" i="11" s="1"/>
  <c r="E18" i="11"/>
  <c r="B265" i="10"/>
  <c r="B264" i="10"/>
  <c r="B263" i="10"/>
  <c r="J260" i="10"/>
  <c r="I260" i="10"/>
  <c r="F260" i="10"/>
  <c r="E260" i="10"/>
  <c r="D260" i="10"/>
  <c r="H260" i="10" s="1"/>
  <c r="C260" i="10"/>
  <c r="J259" i="10"/>
  <c r="I259" i="10"/>
  <c r="F259" i="10"/>
  <c r="E259" i="10"/>
  <c r="D259" i="10"/>
  <c r="H259" i="10" s="1"/>
  <c r="C259" i="10"/>
  <c r="J258" i="10"/>
  <c r="I258" i="10"/>
  <c r="F258" i="10"/>
  <c r="E258" i="10"/>
  <c r="D258" i="10"/>
  <c r="H258" i="10" s="1"/>
  <c r="C258" i="10"/>
  <c r="J257" i="10"/>
  <c r="I257" i="10"/>
  <c r="F257" i="10"/>
  <c r="E257" i="10"/>
  <c r="D257" i="10"/>
  <c r="H257" i="10" s="1"/>
  <c r="C257" i="10"/>
  <c r="J256" i="10"/>
  <c r="I256" i="10"/>
  <c r="F256" i="10"/>
  <c r="E256" i="10"/>
  <c r="D256" i="10"/>
  <c r="C256" i="10"/>
  <c r="J255" i="10"/>
  <c r="I255" i="10"/>
  <c r="I261" i="10" s="1"/>
  <c r="F91" i="10" s="1"/>
  <c r="F255" i="10"/>
  <c r="E255" i="10"/>
  <c r="C125" i="11" s="1"/>
  <c r="D125" i="11" s="1"/>
  <c r="D255" i="10"/>
  <c r="C255" i="10"/>
  <c r="G255" i="10" s="1"/>
  <c r="J254" i="10"/>
  <c r="I254" i="10"/>
  <c r="H254" i="10"/>
  <c r="F254" i="10"/>
  <c r="E254" i="10"/>
  <c r="C124" i="11" s="1"/>
  <c r="D124" i="11" s="1"/>
  <c r="D254" i="10"/>
  <c r="C254" i="10"/>
  <c r="G254" i="10" s="1"/>
  <c r="J253" i="10"/>
  <c r="I253" i="10"/>
  <c r="F253" i="10"/>
  <c r="E253" i="10"/>
  <c r="C123" i="11" s="1"/>
  <c r="D253" i="10"/>
  <c r="H253" i="10" s="1"/>
  <c r="C253" i="10"/>
  <c r="G253" i="10" s="1"/>
  <c r="J252" i="10"/>
  <c r="I252" i="10"/>
  <c r="F252" i="10"/>
  <c r="E252" i="10"/>
  <c r="C122" i="11" s="1"/>
  <c r="D122" i="11" s="1"/>
  <c r="D252" i="10"/>
  <c r="H252" i="10" s="1"/>
  <c r="C252" i="10"/>
  <c r="G252" i="10" s="1"/>
  <c r="J251" i="10"/>
  <c r="J261" i="10" s="1"/>
  <c r="I251" i="10"/>
  <c r="H251" i="10"/>
  <c r="F251" i="10"/>
  <c r="E251" i="10"/>
  <c r="C121" i="11" s="1"/>
  <c r="D121" i="11" s="1"/>
  <c r="D251" i="10"/>
  <c r="C251" i="10"/>
  <c r="J250" i="10"/>
  <c r="I250" i="10"/>
  <c r="F250" i="10"/>
  <c r="E250" i="10"/>
  <c r="C120" i="11" s="1"/>
  <c r="D120" i="11" s="1"/>
  <c r="D250" i="10"/>
  <c r="C250" i="10"/>
  <c r="B245" i="10"/>
  <c r="B244" i="10"/>
  <c r="B243" i="10"/>
  <c r="B242" i="10"/>
  <c r="B241" i="10"/>
  <c r="B240" i="10"/>
  <c r="B239" i="10"/>
  <c r="B238" i="10"/>
  <c r="G231" i="10"/>
  <c r="G232" i="10" s="1"/>
  <c r="C231" i="10"/>
  <c r="C232" i="10" s="1"/>
  <c r="G226" i="10"/>
  <c r="G227" i="10" s="1"/>
  <c r="C226" i="10"/>
  <c r="C227" i="10" s="1"/>
  <c r="C228" i="10" s="1"/>
  <c r="C229" i="10" s="1"/>
  <c r="G216" i="10"/>
  <c r="G217" i="10" s="1"/>
  <c r="C216" i="10"/>
  <c r="C217" i="10" s="1"/>
  <c r="G211" i="10"/>
  <c r="G212" i="10" s="1"/>
  <c r="G213" i="10" s="1"/>
  <c r="G214" i="10" s="1"/>
  <c r="C211" i="10"/>
  <c r="C212" i="10" s="1"/>
  <c r="C213" i="10" s="1"/>
  <c r="C214" i="10" s="1"/>
  <c r="G205" i="10"/>
  <c r="G206" i="10" s="1"/>
  <c r="C205" i="10"/>
  <c r="C206" i="10" s="1"/>
  <c r="B200" i="10"/>
  <c r="B199" i="10"/>
  <c r="B198" i="10"/>
  <c r="B197" i="10"/>
  <c r="B196" i="10"/>
  <c r="C194" i="10"/>
  <c r="N192" i="10"/>
  <c r="K192" i="10"/>
  <c r="H192" i="10"/>
  <c r="G192" i="10"/>
  <c r="F192" i="10"/>
  <c r="L192" i="10" s="1"/>
  <c r="E192" i="10"/>
  <c r="I192" i="10" s="1"/>
  <c r="M191" i="10"/>
  <c r="L191" i="10"/>
  <c r="H191" i="10"/>
  <c r="N191" i="10" s="1"/>
  <c r="G191" i="10"/>
  <c r="J191" i="10" s="1"/>
  <c r="F191" i="10"/>
  <c r="E191" i="10"/>
  <c r="K191" i="10" s="1"/>
  <c r="N190" i="10"/>
  <c r="K190" i="10"/>
  <c r="H190" i="10"/>
  <c r="G190" i="10"/>
  <c r="F190" i="10"/>
  <c r="L190" i="10" s="1"/>
  <c r="E190" i="10"/>
  <c r="I190" i="10" s="1"/>
  <c r="M189" i="10"/>
  <c r="L189" i="10"/>
  <c r="H189" i="10"/>
  <c r="N189" i="10" s="1"/>
  <c r="G189" i="10"/>
  <c r="J189" i="10" s="1"/>
  <c r="F189" i="10"/>
  <c r="E189" i="10"/>
  <c r="K189" i="10" s="1"/>
  <c r="N188" i="10"/>
  <c r="K188" i="10"/>
  <c r="H188" i="10"/>
  <c r="G188" i="10"/>
  <c r="F188" i="10"/>
  <c r="L188" i="10" s="1"/>
  <c r="E188" i="10"/>
  <c r="I188" i="10" s="1"/>
  <c r="M187" i="10"/>
  <c r="L187" i="10"/>
  <c r="H187" i="10"/>
  <c r="N187" i="10" s="1"/>
  <c r="G187" i="10"/>
  <c r="J187" i="10" s="1"/>
  <c r="F187" i="10"/>
  <c r="E187" i="10"/>
  <c r="K187" i="10" s="1"/>
  <c r="B151" i="10"/>
  <c r="B150" i="10"/>
  <c r="F148" i="10"/>
  <c r="E148" i="10"/>
  <c r="F147" i="10"/>
  <c r="E147" i="10"/>
  <c r="F146" i="10"/>
  <c r="E146" i="10"/>
  <c r="F145" i="10"/>
  <c r="E145" i="10"/>
  <c r="F144" i="10"/>
  <c r="E144" i="10"/>
  <c r="F143" i="10"/>
  <c r="E143" i="10"/>
  <c r="F142" i="10"/>
  <c r="E142" i="10"/>
  <c r="F141" i="10"/>
  <c r="E141" i="10"/>
  <c r="F140" i="10"/>
  <c r="E140" i="10"/>
  <c r="B135" i="10"/>
  <c r="B134" i="10"/>
  <c r="B133" i="10"/>
  <c r="F131" i="10"/>
  <c r="F130" i="10"/>
  <c r="F129" i="10"/>
  <c r="F128" i="10"/>
  <c r="F127" i="10"/>
  <c r="F126" i="10"/>
  <c r="F125" i="10"/>
  <c r="F124" i="10"/>
  <c r="F123" i="10"/>
  <c r="F122" i="10"/>
  <c r="F121" i="10"/>
  <c r="E120" i="10"/>
  <c r="D120" i="10"/>
  <c r="A115" i="10"/>
  <c r="A114" i="10"/>
  <c r="A113" i="10"/>
  <c r="A112" i="10"/>
  <c r="A111" i="10"/>
  <c r="A110" i="10"/>
  <c r="A109" i="10"/>
  <c r="A108" i="10"/>
  <c r="A107" i="10"/>
  <c r="A106" i="10"/>
  <c r="A105" i="10"/>
  <c r="A104" i="10"/>
  <c r="C92" i="10"/>
  <c r="D91" i="10"/>
  <c r="D92" i="10" s="1"/>
  <c r="D93" i="10" s="1"/>
  <c r="C91" i="10"/>
  <c r="B91" i="10"/>
  <c r="O90" i="10"/>
  <c r="J90" i="10"/>
  <c r="G90" i="10"/>
  <c r="N90" i="10" s="1"/>
  <c r="N89" i="10"/>
  <c r="J89" i="10"/>
  <c r="O89" i="10" s="1"/>
  <c r="G89" i="10"/>
  <c r="O88" i="10"/>
  <c r="J88" i="10"/>
  <c r="G88" i="10"/>
  <c r="N88" i="10" s="1"/>
  <c r="N87" i="10"/>
  <c r="J87" i="10"/>
  <c r="O87" i="10" s="1"/>
  <c r="G87" i="10"/>
  <c r="O86" i="10"/>
  <c r="J86" i="10"/>
  <c r="G86" i="10"/>
  <c r="N86" i="10" s="1"/>
  <c r="N85" i="10"/>
  <c r="J85" i="10"/>
  <c r="O85" i="10" s="1"/>
  <c r="G85" i="10"/>
  <c r="O84" i="10"/>
  <c r="J84" i="10"/>
  <c r="G84" i="10"/>
  <c r="N84" i="10" s="1"/>
  <c r="N83" i="10"/>
  <c r="J83" i="10"/>
  <c r="O83" i="10" s="1"/>
  <c r="G83" i="10"/>
  <c r="O82" i="10"/>
  <c r="J82" i="10"/>
  <c r="G82" i="10"/>
  <c r="N82" i="10" s="1"/>
  <c r="N81" i="10"/>
  <c r="J81" i="10"/>
  <c r="O81" i="10" s="1"/>
  <c r="G81" i="10"/>
  <c r="O80" i="10"/>
  <c r="J80" i="10"/>
  <c r="G80" i="10"/>
  <c r="N80" i="10" s="1"/>
  <c r="N79" i="10"/>
  <c r="J79" i="10"/>
  <c r="O79" i="10" s="1"/>
  <c r="G79" i="10"/>
  <c r="O78" i="10"/>
  <c r="J78" i="10"/>
  <c r="G78" i="10"/>
  <c r="N78" i="10" s="1"/>
  <c r="N77" i="10"/>
  <c r="J77" i="10"/>
  <c r="O77" i="10" s="1"/>
  <c r="G77" i="10"/>
  <c r="O76" i="10"/>
  <c r="J76" i="10"/>
  <c r="G76" i="10"/>
  <c r="N76" i="10" s="1"/>
  <c r="N75" i="10"/>
  <c r="J75" i="10"/>
  <c r="O75" i="10" s="1"/>
  <c r="G75" i="10"/>
  <c r="O74" i="10"/>
  <c r="J74" i="10"/>
  <c r="G74" i="10"/>
  <c r="N74" i="10" s="1"/>
  <c r="N73" i="10"/>
  <c r="J73" i="10"/>
  <c r="O73" i="10" s="1"/>
  <c r="G73" i="10"/>
  <c r="O72" i="10"/>
  <c r="J72" i="10"/>
  <c r="G72" i="10"/>
  <c r="N72" i="10" s="1"/>
  <c r="N71" i="10"/>
  <c r="J71" i="10"/>
  <c r="O71" i="10" s="1"/>
  <c r="G71" i="10"/>
  <c r="O70" i="10"/>
  <c r="J70" i="10"/>
  <c r="G70" i="10"/>
  <c r="N70" i="10" s="1"/>
  <c r="N69" i="10"/>
  <c r="J69" i="10"/>
  <c r="O69" i="10" s="1"/>
  <c r="G69" i="10"/>
  <c r="O68" i="10"/>
  <c r="J68" i="10"/>
  <c r="G68" i="10"/>
  <c r="N68" i="10" s="1"/>
  <c r="N67" i="10"/>
  <c r="J67" i="10"/>
  <c r="O67" i="10" s="1"/>
  <c r="G67" i="10"/>
  <c r="O66" i="10"/>
  <c r="J66" i="10"/>
  <c r="G66" i="10"/>
  <c r="N66" i="10" s="1"/>
  <c r="N65" i="10"/>
  <c r="J65" i="10"/>
  <c r="O65" i="10" s="1"/>
  <c r="G65" i="10"/>
  <c r="O64" i="10"/>
  <c r="J64" i="10"/>
  <c r="G64" i="10"/>
  <c r="N64" i="10" s="1"/>
  <c r="N63" i="10"/>
  <c r="J63" i="10"/>
  <c r="O63" i="10" s="1"/>
  <c r="G63" i="10"/>
  <c r="O62" i="10"/>
  <c r="J62" i="10"/>
  <c r="G62" i="10"/>
  <c r="N62" i="10" s="1"/>
  <c r="N61" i="10"/>
  <c r="J61" i="10"/>
  <c r="O61" i="10" s="1"/>
  <c r="G61" i="10"/>
  <c r="O60" i="10"/>
  <c r="J60" i="10"/>
  <c r="G60" i="10"/>
  <c r="N60" i="10" s="1"/>
  <c r="N59" i="10"/>
  <c r="J59" i="10"/>
  <c r="O59" i="10" s="1"/>
  <c r="G59" i="10"/>
  <c r="O58" i="10"/>
  <c r="J58" i="10"/>
  <c r="G58" i="10"/>
  <c r="N58" i="10" s="1"/>
  <c r="N57" i="10"/>
  <c r="J57" i="10"/>
  <c r="O57" i="10" s="1"/>
  <c r="G57" i="10"/>
  <c r="O56" i="10"/>
  <c r="J56" i="10"/>
  <c r="G56" i="10"/>
  <c r="N56" i="10" s="1"/>
  <c r="N55" i="10"/>
  <c r="J55" i="10"/>
  <c r="O55" i="10" s="1"/>
  <c r="G55" i="10"/>
  <c r="O54" i="10"/>
  <c r="J54" i="10"/>
  <c r="G54" i="10"/>
  <c r="N54" i="10" s="1"/>
  <c r="J53" i="10"/>
  <c r="O53" i="10" s="1"/>
  <c r="G53" i="10"/>
  <c r="N53" i="10" s="1"/>
  <c r="J52" i="10"/>
  <c r="O52" i="10" s="1"/>
  <c r="G52" i="10"/>
  <c r="N52" i="10" s="1"/>
  <c r="N51" i="10"/>
  <c r="J51" i="10"/>
  <c r="O51" i="10" s="1"/>
  <c r="G51" i="10"/>
  <c r="O50" i="10"/>
  <c r="J50" i="10"/>
  <c r="G50" i="10"/>
  <c r="N50" i="10" s="1"/>
  <c r="J49" i="10"/>
  <c r="O49" i="10" s="1"/>
  <c r="G49" i="10"/>
  <c r="N49" i="10" s="1"/>
  <c r="J48" i="10"/>
  <c r="O48" i="10" s="1"/>
  <c r="G48" i="10"/>
  <c r="N48" i="10" s="1"/>
  <c r="N47" i="10"/>
  <c r="J47" i="10"/>
  <c r="O47" i="10" s="1"/>
  <c r="G47" i="10"/>
  <c r="O46" i="10"/>
  <c r="J46" i="10"/>
  <c r="G46" i="10"/>
  <c r="N46" i="10" s="1"/>
  <c r="J45" i="10"/>
  <c r="O45" i="10" s="1"/>
  <c r="G45" i="10"/>
  <c r="N45" i="10" s="1"/>
  <c r="J44" i="10"/>
  <c r="O44" i="10" s="1"/>
  <c r="G44" i="10"/>
  <c r="N44" i="10" s="1"/>
  <c r="N43" i="10"/>
  <c r="J43" i="10"/>
  <c r="O43" i="10" s="1"/>
  <c r="G43" i="10"/>
  <c r="O42" i="10"/>
  <c r="M42" i="10"/>
  <c r="J42" i="10"/>
  <c r="G42" i="10"/>
  <c r="N42" i="10" s="1"/>
  <c r="M41" i="10"/>
  <c r="J41" i="10"/>
  <c r="O41" i="10" s="1"/>
  <c r="G41" i="10"/>
  <c r="N41" i="10" s="1"/>
  <c r="M40" i="10"/>
  <c r="J40" i="10"/>
  <c r="O40" i="10" s="1"/>
  <c r="G40" i="10"/>
  <c r="N40" i="10" s="1"/>
  <c r="O39" i="10"/>
  <c r="N39" i="10"/>
  <c r="J39" i="10"/>
  <c r="G39" i="10"/>
  <c r="O38" i="10"/>
  <c r="J38" i="10"/>
  <c r="G38" i="10"/>
  <c r="N38" i="10" s="1"/>
  <c r="N37" i="10"/>
  <c r="M37" i="10"/>
  <c r="J37" i="10"/>
  <c r="O37" i="10" s="1"/>
  <c r="G37" i="10"/>
  <c r="J36" i="10"/>
  <c r="O36" i="10" s="1"/>
  <c r="G36" i="10"/>
  <c r="N36" i="10" s="1"/>
  <c r="N35" i="10"/>
  <c r="J35" i="10"/>
  <c r="O35" i="10" s="1"/>
  <c r="G35" i="10"/>
  <c r="O34" i="10"/>
  <c r="M34" i="10"/>
  <c r="J34" i="10"/>
  <c r="G34" i="10"/>
  <c r="N34" i="10" s="1"/>
  <c r="M33" i="10"/>
  <c r="J33" i="10"/>
  <c r="O33" i="10" s="1"/>
  <c r="G33" i="10"/>
  <c r="N33" i="10" s="1"/>
  <c r="N32" i="10"/>
  <c r="M32" i="10"/>
  <c r="J32" i="10"/>
  <c r="O32" i="10" s="1"/>
  <c r="G32" i="10"/>
  <c r="N31" i="10"/>
  <c r="J31" i="10"/>
  <c r="O31" i="10" s="1"/>
  <c r="G31" i="10"/>
  <c r="O30" i="10"/>
  <c r="J30" i="10"/>
  <c r="G30" i="10"/>
  <c r="N30" i="10" s="1"/>
  <c r="M29" i="10"/>
  <c r="J29" i="10"/>
  <c r="O29" i="10" s="1"/>
  <c r="G29" i="10"/>
  <c r="N29" i="10" s="1"/>
  <c r="J28" i="10"/>
  <c r="O28" i="10" s="1"/>
  <c r="G28" i="10"/>
  <c r="N28" i="10" s="1"/>
  <c r="N27" i="10"/>
  <c r="J27" i="10"/>
  <c r="O27" i="10" s="1"/>
  <c r="G27" i="10"/>
  <c r="O26" i="10"/>
  <c r="M26" i="10"/>
  <c r="J26" i="10"/>
  <c r="G26" i="10"/>
  <c r="N26" i="10" s="1"/>
  <c r="M25" i="10"/>
  <c r="J25" i="10"/>
  <c r="O25" i="10" s="1"/>
  <c r="G25" i="10"/>
  <c r="N25" i="10" s="1"/>
  <c r="M24" i="10"/>
  <c r="J24" i="10"/>
  <c r="O24" i="10" s="1"/>
  <c r="G24" i="10"/>
  <c r="N24" i="10" s="1"/>
  <c r="O23" i="10"/>
  <c r="N23" i="10"/>
  <c r="J23" i="10"/>
  <c r="G23" i="10"/>
  <c r="O22" i="10"/>
  <c r="J22" i="10"/>
  <c r="G22" i="10"/>
  <c r="N22" i="10" s="1"/>
  <c r="N21" i="10"/>
  <c r="M21" i="10"/>
  <c r="J21" i="10"/>
  <c r="O21" i="10" s="1"/>
  <c r="G21" i="10"/>
  <c r="M20" i="10"/>
  <c r="J20" i="10"/>
  <c r="O20" i="10" s="1"/>
  <c r="G20" i="10"/>
  <c r="N20" i="10" s="1"/>
  <c r="N19" i="10"/>
  <c r="M19" i="10"/>
  <c r="J19" i="10"/>
  <c r="O19" i="10" s="1"/>
  <c r="G19" i="10"/>
  <c r="O18" i="10"/>
  <c r="M18" i="10"/>
  <c r="J18" i="10"/>
  <c r="G18" i="10"/>
  <c r="N18" i="10" s="1"/>
  <c r="J17" i="10"/>
  <c r="O17" i="10" s="1"/>
  <c r="G17" i="10"/>
  <c r="N17" i="10" s="1"/>
  <c r="J16" i="10"/>
  <c r="O16" i="10" s="1"/>
  <c r="G16" i="10"/>
  <c r="N16" i="10" s="1"/>
  <c r="N15" i="10"/>
  <c r="J15" i="10"/>
  <c r="O15" i="10" s="1"/>
  <c r="G15" i="10"/>
  <c r="O14" i="10"/>
  <c r="J14" i="10"/>
  <c r="G14" i="10"/>
  <c r="N14" i="10" s="1"/>
  <c r="J13" i="10"/>
  <c r="O13" i="10" s="1"/>
  <c r="G13" i="10"/>
  <c r="N13" i="10" s="1"/>
  <c r="J12" i="10"/>
  <c r="O12" i="10" s="1"/>
  <c r="G12" i="10"/>
  <c r="N12" i="10" s="1"/>
  <c r="N11" i="10"/>
  <c r="J11" i="10"/>
  <c r="O11" i="10" s="1"/>
  <c r="G11" i="10"/>
  <c r="O10" i="10"/>
  <c r="J10" i="10"/>
  <c r="G10" i="10"/>
  <c r="N10" i="10" s="1"/>
  <c r="J9" i="10"/>
  <c r="O9" i="10" s="1"/>
  <c r="G9" i="10"/>
  <c r="N9" i="10" s="1"/>
  <c r="J8" i="10"/>
  <c r="O8" i="10" s="1"/>
  <c r="G8" i="10"/>
  <c r="N8" i="10" s="1"/>
  <c r="N7" i="10"/>
  <c r="J7" i="10"/>
  <c r="O7" i="10" s="1"/>
  <c r="G7" i="10"/>
  <c r="A107" i="9"/>
  <c r="A106" i="9"/>
  <c r="A105" i="9"/>
  <c r="A104" i="9"/>
  <c r="A103" i="9"/>
  <c r="L90" i="9"/>
  <c r="K90" i="9"/>
  <c r="L89" i="9"/>
  <c r="K89" i="9"/>
  <c r="B89" i="9"/>
  <c r="L88" i="9"/>
  <c r="K88" i="9"/>
  <c r="B88" i="9"/>
  <c r="L87" i="9"/>
  <c r="K87" i="9"/>
  <c r="B87" i="9"/>
  <c r="L86" i="9"/>
  <c r="K86" i="9"/>
  <c r="B86" i="9"/>
  <c r="L85" i="9"/>
  <c r="K85" i="9"/>
  <c r="B85" i="9"/>
  <c r="L84" i="9"/>
  <c r="K84" i="9"/>
  <c r="B84" i="9"/>
  <c r="L83" i="9"/>
  <c r="K83" i="9"/>
  <c r="B83" i="9"/>
  <c r="L82" i="9"/>
  <c r="K82" i="9"/>
  <c r="B82" i="9"/>
  <c r="L81" i="9"/>
  <c r="K81" i="9"/>
  <c r="B81" i="9"/>
  <c r="L80" i="9"/>
  <c r="K80" i="9"/>
  <c r="B80" i="9"/>
  <c r="L79" i="9"/>
  <c r="K79" i="9"/>
  <c r="B79" i="9"/>
  <c r="L78" i="9"/>
  <c r="K78" i="9"/>
  <c r="B78" i="9"/>
  <c r="L77" i="9"/>
  <c r="K77" i="9"/>
  <c r="B77" i="9"/>
  <c r="L76" i="9"/>
  <c r="K76" i="9"/>
  <c r="B76" i="9"/>
  <c r="L75" i="9"/>
  <c r="K75" i="9"/>
  <c r="B75" i="9"/>
  <c r="L74" i="9"/>
  <c r="K74" i="9"/>
  <c r="B74" i="9"/>
  <c r="L73" i="9"/>
  <c r="K73" i="9"/>
  <c r="B73" i="9"/>
  <c r="L72" i="9"/>
  <c r="K72" i="9"/>
  <c r="B72" i="9"/>
  <c r="L71" i="9"/>
  <c r="K71" i="9"/>
  <c r="B71" i="9"/>
  <c r="L70" i="9"/>
  <c r="K70" i="9"/>
  <c r="B70" i="9"/>
  <c r="L69" i="9"/>
  <c r="K69" i="9"/>
  <c r="B69" i="9"/>
  <c r="L68" i="9"/>
  <c r="K68" i="9"/>
  <c r="B68" i="9"/>
  <c r="L67" i="9"/>
  <c r="K67" i="9"/>
  <c r="B67" i="9"/>
  <c r="L66" i="9"/>
  <c r="K66" i="9"/>
  <c r="B66" i="9"/>
  <c r="L65" i="9"/>
  <c r="K65" i="9"/>
  <c r="B65" i="9"/>
  <c r="L64" i="9"/>
  <c r="K64" i="9"/>
  <c r="B64" i="9"/>
  <c r="L63" i="9"/>
  <c r="K63" i="9"/>
  <c r="B63" i="9"/>
  <c r="L62" i="9"/>
  <c r="K62" i="9"/>
  <c r="B62" i="9"/>
  <c r="L61" i="9"/>
  <c r="K61" i="9"/>
  <c r="B61" i="9"/>
  <c r="L60" i="9"/>
  <c r="K60" i="9"/>
  <c r="B60" i="9"/>
  <c r="L59" i="9"/>
  <c r="K59" i="9"/>
  <c r="B59" i="9"/>
  <c r="L58" i="9"/>
  <c r="K58" i="9"/>
  <c r="B58" i="9"/>
  <c r="L57" i="9"/>
  <c r="K57" i="9"/>
  <c r="B57" i="9"/>
  <c r="L56" i="9"/>
  <c r="K56" i="9"/>
  <c r="B56" i="9"/>
  <c r="L55" i="9"/>
  <c r="K55" i="9"/>
  <c r="B55" i="9"/>
  <c r="L54" i="9"/>
  <c r="K54" i="9"/>
  <c r="B54" i="9"/>
  <c r="L53" i="9"/>
  <c r="K53" i="9"/>
  <c r="B53" i="9"/>
  <c r="L52" i="9"/>
  <c r="K52" i="9"/>
  <c r="B52" i="9"/>
  <c r="L51" i="9"/>
  <c r="K51" i="9"/>
  <c r="B51" i="9"/>
  <c r="L50" i="9"/>
  <c r="K50" i="9"/>
  <c r="B50" i="9"/>
  <c r="L49" i="9"/>
  <c r="K49" i="9"/>
  <c r="B49" i="9"/>
  <c r="L48" i="9"/>
  <c r="K48" i="9"/>
  <c r="B48" i="9"/>
  <c r="L47" i="9"/>
  <c r="K47" i="9"/>
  <c r="B47" i="9"/>
  <c r="L46" i="9"/>
  <c r="K46" i="9"/>
  <c r="B46" i="9"/>
  <c r="L45" i="9"/>
  <c r="K45" i="9"/>
  <c r="B45" i="9"/>
  <c r="L44" i="9"/>
  <c r="K44" i="9"/>
  <c r="B44" i="9"/>
  <c r="L43" i="9"/>
  <c r="K43" i="9"/>
  <c r="B43" i="9"/>
  <c r="L42" i="9"/>
  <c r="K42" i="9"/>
  <c r="B42" i="9"/>
  <c r="L41" i="9"/>
  <c r="K41" i="9"/>
  <c r="B41" i="9"/>
  <c r="L40" i="9"/>
  <c r="K40" i="9"/>
  <c r="B40" i="9"/>
  <c r="L39" i="9"/>
  <c r="K39" i="9"/>
  <c r="B39" i="9"/>
  <c r="L38" i="9"/>
  <c r="K38" i="9"/>
  <c r="B38" i="9"/>
  <c r="L37" i="9"/>
  <c r="K37" i="9"/>
  <c r="L36" i="9"/>
  <c r="K36" i="9"/>
  <c r="L35" i="9"/>
  <c r="K35" i="9"/>
  <c r="L34" i="9"/>
  <c r="K34" i="9"/>
  <c r="L33" i="9"/>
  <c r="K33" i="9"/>
  <c r="L32" i="9"/>
  <c r="K32" i="9"/>
  <c r="L31" i="9"/>
  <c r="K31" i="9"/>
  <c r="L30" i="9"/>
  <c r="K30" i="9"/>
  <c r="L29" i="9"/>
  <c r="K29" i="9"/>
  <c r="L28" i="9"/>
  <c r="K28" i="9"/>
  <c r="L27" i="9"/>
  <c r="K27" i="9"/>
  <c r="L26" i="9"/>
  <c r="K26" i="9"/>
  <c r="L25" i="9"/>
  <c r="K25" i="9"/>
  <c r="L24" i="9"/>
  <c r="K24" i="9"/>
  <c r="L23" i="9"/>
  <c r="K23" i="9"/>
  <c r="L22" i="9"/>
  <c r="K22" i="9"/>
  <c r="L21" i="9"/>
  <c r="K21" i="9"/>
  <c r="L20" i="9"/>
  <c r="K20" i="9"/>
  <c r="L19" i="9"/>
  <c r="K19" i="9"/>
  <c r="L18" i="9"/>
  <c r="K18" i="9"/>
  <c r="L17" i="9"/>
  <c r="K17" i="9"/>
  <c r="L16" i="9"/>
  <c r="K16" i="9"/>
  <c r="L15" i="9"/>
  <c r="K15" i="9"/>
  <c r="L14" i="9"/>
  <c r="K14" i="9"/>
  <c r="L13" i="9"/>
  <c r="K13" i="9"/>
  <c r="L12" i="9"/>
  <c r="K12" i="9"/>
  <c r="L11" i="9"/>
  <c r="K11" i="9"/>
  <c r="L10" i="9"/>
  <c r="K10" i="9"/>
  <c r="L9" i="9"/>
  <c r="K9" i="9"/>
  <c r="L8" i="9"/>
  <c r="K8" i="9"/>
  <c r="L7" i="9"/>
  <c r="K7" i="9"/>
  <c r="B150" i="8"/>
  <c r="B149" i="8"/>
  <c r="K148" i="8"/>
  <c r="O148" i="8" s="1"/>
  <c r="J148" i="8"/>
  <c r="G148" i="8"/>
  <c r="P146" i="8"/>
  <c r="L146" i="8"/>
  <c r="H146" i="8"/>
  <c r="H145" i="8"/>
  <c r="P144" i="8"/>
  <c r="L144" i="8"/>
  <c r="H144" i="8"/>
  <c r="H143" i="8"/>
  <c r="H147" i="8" s="1"/>
  <c r="P142" i="8"/>
  <c r="L142" i="8"/>
  <c r="L147" i="8" s="1"/>
  <c r="H142" i="8"/>
  <c r="H141" i="8"/>
  <c r="H140" i="8"/>
  <c r="H139" i="8"/>
  <c r="H138" i="8"/>
  <c r="H135" i="8"/>
  <c r="B131" i="8"/>
  <c r="F129" i="8"/>
  <c r="F128" i="8"/>
  <c r="F127" i="8"/>
  <c r="F126" i="8"/>
  <c r="F125" i="8"/>
  <c r="F124" i="8"/>
  <c r="F123" i="8"/>
  <c r="F122" i="8"/>
  <c r="F121" i="8"/>
  <c r="F120" i="8"/>
  <c r="B116" i="8"/>
  <c r="B115" i="8"/>
  <c r="B114" i="8"/>
  <c r="B113" i="8"/>
  <c r="B112" i="8"/>
  <c r="F101" i="8"/>
  <c r="F102" i="8" s="1"/>
  <c r="F103" i="8" s="1"/>
  <c r="F104" i="8" s="1"/>
  <c r="F105" i="8" s="1"/>
  <c r="F106" i="8" s="1"/>
  <c r="F107" i="8" s="1"/>
  <c r="F108" i="8" s="1"/>
  <c r="F109" i="8" s="1"/>
  <c r="F110" i="8" s="1"/>
  <c r="B97" i="8"/>
  <c r="B96" i="8"/>
  <c r="B95" i="8"/>
  <c r="B94" i="8"/>
  <c r="E93" i="8"/>
  <c r="K83" i="8"/>
  <c r="K84" i="8" s="1"/>
  <c r="G83" i="8"/>
  <c r="G84" i="8" s="1"/>
  <c r="A79" i="8"/>
  <c r="A78" i="8"/>
  <c r="A77" i="8"/>
  <c r="A76" i="8"/>
  <c r="A75" i="8"/>
  <c r="A74" i="8"/>
  <c r="A73" i="8"/>
  <c r="T69" i="8"/>
  <c r="AF69" i="8" s="1"/>
  <c r="Q69" i="8"/>
  <c r="U69" i="8" s="1"/>
  <c r="AC69" i="8" s="1"/>
  <c r="P69" i="8"/>
  <c r="M69" i="8"/>
  <c r="AI58" i="8"/>
  <c r="R146" i="8" s="1"/>
  <c r="AH58" i="8"/>
  <c r="Q146" i="8" s="1"/>
  <c r="AG58" i="8"/>
  <c r="AF58" i="8"/>
  <c r="AE58" i="8"/>
  <c r="O146" i="8" s="1"/>
  <c r="AD58" i="8"/>
  <c r="N146" i="8" s="1"/>
  <c r="AC58" i="8"/>
  <c r="M146" i="8" s="1"/>
  <c r="AB58" i="8"/>
  <c r="J83" i="8" s="1"/>
  <c r="AA58" i="8"/>
  <c r="Z58" i="8"/>
  <c r="K146" i="8" s="1"/>
  <c r="Y58" i="8"/>
  <c r="J146" i="8" s="1"/>
  <c r="X58" i="8"/>
  <c r="I83" i="8" s="1"/>
  <c r="W58" i="8"/>
  <c r="V58" i="8"/>
  <c r="I146" i="8" s="1"/>
  <c r="U58" i="8"/>
  <c r="T58" i="8"/>
  <c r="H83" i="8" s="1"/>
  <c r="P58" i="8"/>
  <c r="O58" i="8"/>
  <c r="N58" i="8"/>
  <c r="L58" i="8"/>
  <c r="K58" i="8"/>
  <c r="G89" i="11" s="1"/>
  <c r="F89" i="11" s="1"/>
  <c r="J58" i="8"/>
  <c r="G101" i="8" s="1"/>
  <c r="I58" i="8"/>
  <c r="H58" i="8"/>
  <c r="D127" i="12" s="1"/>
  <c r="G58" i="8"/>
  <c r="F83" i="8" s="1"/>
  <c r="F58" i="8"/>
  <c r="E83" i="8" s="1"/>
  <c r="B58" i="8"/>
  <c r="AI57" i="8"/>
  <c r="R145" i="8" s="1"/>
  <c r="AH57" i="8"/>
  <c r="Q145" i="8" s="1"/>
  <c r="AG57" i="8"/>
  <c r="AF57" i="8"/>
  <c r="P145" i="8" s="1"/>
  <c r="AE57" i="8"/>
  <c r="O145" i="8" s="1"/>
  <c r="AD57" i="8"/>
  <c r="N145" i="8" s="1"/>
  <c r="AC57" i="8"/>
  <c r="AB57" i="8"/>
  <c r="AA57" i="8"/>
  <c r="Z57" i="8"/>
  <c r="K145" i="8" s="1"/>
  <c r="Y57" i="8"/>
  <c r="X57" i="8"/>
  <c r="L145" i="8" s="1"/>
  <c r="W57" i="8"/>
  <c r="V57" i="8"/>
  <c r="I145" i="8" s="1"/>
  <c r="U57" i="8"/>
  <c r="T57" i="8"/>
  <c r="P57" i="8"/>
  <c r="O57" i="8"/>
  <c r="N57" i="8"/>
  <c r="L57" i="8"/>
  <c r="K57" i="8"/>
  <c r="G88" i="11" s="1"/>
  <c r="J57" i="8"/>
  <c r="I57" i="8"/>
  <c r="H57" i="8"/>
  <c r="D126" i="12" s="1"/>
  <c r="F126" i="12" s="1"/>
  <c r="G57" i="8"/>
  <c r="F57" i="8"/>
  <c r="B57" i="8"/>
  <c r="AI56" i="8"/>
  <c r="R144" i="8" s="1"/>
  <c r="AH56" i="8"/>
  <c r="Q144" i="8" s="1"/>
  <c r="AG56" i="8"/>
  <c r="AF56" i="8"/>
  <c r="AE56" i="8"/>
  <c r="O144" i="8" s="1"/>
  <c r="AD56" i="8"/>
  <c r="N144" i="8" s="1"/>
  <c r="AC56" i="8"/>
  <c r="M144" i="8" s="1"/>
  <c r="AB56" i="8"/>
  <c r="AA56" i="8"/>
  <c r="Z56" i="8"/>
  <c r="K144" i="8" s="1"/>
  <c r="Y56" i="8"/>
  <c r="J144" i="8" s="1"/>
  <c r="X56" i="8"/>
  <c r="W56" i="8"/>
  <c r="V56" i="8"/>
  <c r="I144" i="8" s="1"/>
  <c r="U56" i="8"/>
  <c r="T56" i="8"/>
  <c r="P56" i="8"/>
  <c r="O56" i="8"/>
  <c r="N56" i="8"/>
  <c r="L56" i="8"/>
  <c r="K56" i="8"/>
  <c r="G87" i="11" s="1"/>
  <c r="F87" i="11" s="1"/>
  <c r="J56" i="8"/>
  <c r="I56" i="8"/>
  <c r="H56" i="8"/>
  <c r="D125" i="12" s="1"/>
  <c r="G56" i="8"/>
  <c r="F56" i="8"/>
  <c r="B56" i="8"/>
  <c r="AI55" i="8"/>
  <c r="R143" i="8" s="1"/>
  <c r="AH55" i="8"/>
  <c r="Q143" i="8" s="1"/>
  <c r="AG55" i="8"/>
  <c r="AF55" i="8"/>
  <c r="P143" i="8" s="1"/>
  <c r="AE55" i="8"/>
  <c r="O143" i="8" s="1"/>
  <c r="AD55" i="8"/>
  <c r="N143" i="8" s="1"/>
  <c r="AC55" i="8"/>
  <c r="AB55" i="8"/>
  <c r="AA55" i="8"/>
  <c r="Z55" i="8"/>
  <c r="K143" i="8" s="1"/>
  <c r="Y55" i="8"/>
  <c r="X55" i="8"/>
  <c r="L143" i="8" s="1"/>
  <c r="W55" i="8"/>
  <c r="V55" i="8"/>
  <c r="I143" i="8" s="1"/>
  <c r="U55" i="8"/>
  <c r="T55" i="8"/>
  <c r="P55" i="8"/>
  <c r="O55" i="8"/>
  <c r="N55" i="8"/>
  <c r="L55" i="8"/>
  <c r="K55" i="8"/>
  <c r="G86" i="11" s="1"/>
  <c r="J55" i="8"/>
  <c r="I55" i="8"/>
  <c r="H55" i="8"/>
  <c r="D124" i="12" s="1"/>
  <c r="G55" i="8"/>
  <c r="F55" i="8"/>
  <c r="B55" i="8"/>
  <c r="AI54" i="8"/>
  <c r="R142" i="8" s="1"/>
  <c r="R147" i="8" s="1"/>
  <c r="AH54" i="8"/>
  <c r="Q142" i="8" s="1"/>
  <c r="AG54" i="8"/>
  <c r="AF54" i="8"/>
  <c r="AE54" i="8"/>
  <c r="O142" i="8" s="1"/>
  <c r="O147" i="8" s="1"/>
  <c r="AD54" i="8"/>
  <c r="N142" i="8" s="1"/>
  <c r="AC54" i="8"/>
  <c r="M142" i="8" s="1"/>
  <c r="AB54" i="8"/>
  <c r="AA54" i="8"/>
  <c r="Z54" i="8"/>
  <c r="K142" i="8" s="1"/>
  <c r="Y54" i="8"/>
  <c r="J142" i="8" s="1"/>
  <c r="X54" i="8"/>
  <c r="W54" i="8"/>
  <c r="V54" i="8"/>
  <c r="I142" i="8" s="1"/>
  <c r="U54" i="8"/>
  <c r="T54" i="8"/>
  <c r="P54" i="8"/>
  <c r="O54" i="8"/>
  <c r="N54" i="8"/>
  <c r="L54" i="8"/>
  <c r="K54" i="8"/>
  <c r="G85" i="11" s="1"/>
  <c r="F85" i="11" s="1"/>
  <c r="J54" i="8"/>
  <c r="I54" i="8"/>
  <c r="H54" i="8"/>
  <c r="G54" i="8"/>
  <c r="F54" i="8"/>
  <c r="B54" i="8"/>
  <c r="AI53" i="8"/>
  <c r="R141" i="8" s="1"/>
  <c r="AH53" i="8"/>
  <c r="Q141" i="8" s="1"/>
  <c r="AG53" i="8"/>
  <c r="AF53" i="8"/>
  <c r="P141" i="8" s="1"/>
  <c r="AE53" i="8"/>
  <c r="O141" i="8" s="1"/>
  <c r="AD53" i="8"/>
  <c r="N141" i="8" s="1"/>
  <c r="AC53" i="8"/>
  <c r="AB53" i="8"/>
  <c r="AA53" i="8"/>
  <c r="Z53" i="8"/>
  <c r="K141" i="8" s="1"/>
  <c r="Y53" i="8"/>
  <c r="X53" i="8"/>
  <c r="L141" i="8" s="1"/>
  <c r="W53" i="8"/>
  <c r="V53" i="8"/>
  <c r="I141" i="8" s="1"/>
  <c r="U53" i="8"/>
  <c r="T53" i="8"/>
  <c r="Q53" i="8"/>
  <c r="E141" i="8" s="1"/>
  <c r="P53" i="8"/>
  <c r="O53" i="8"/>
  <c r="N53" i="8"/>
  <c r="M53" i="8"/>
  <c r="L53" i="8"/>
  <c r="K53" i="8"/>
  <c r="G84" i="11" s="1"/>
  <c r="J53" i="8"/>
  <c r="I53" i="8"/>
  <c r="C53" i="8" s="1"/>
  <c r="E84" i="10" s="1"/>
  <c r="H53" i="8"/>
  <c r="G53" i="8"/>
  <c r="F53" i="8"/>
  <c r="B53" i="8"/>
  <c r="AI52" i="8"/>
  <c r="R140" i="8" s="1"/>
  <c r="AH52" i="8"/>
  <c r="Q140" i="8" s="1"/>
  <c r="AG52" i="8"/>
  <c r="AF52" i="8"/>
  <c r="P140" i="8" s="1"/>
  <c r="AE52" i="8"/>
  <c r="O140" i="8" s="1"/>
  <c r="AD52" i="8"/>
  <c r="N140" i="8" s="1"/>
  <c r="AC52" i="8"/>
  <c r="AB52" i="8"/>
  <c r="AA52" i="8"/>
  <c r="L140" i="8" s="1"/>
  <c r="Z52" i="8"/>
  <c r="K140" i="8" s="1"/>
  <c r="Y52" i="8"/>
  <c r="X52" i="8"/>
  <c r="W52" i="8"/>
  <c r="V52" i="8"/>
  <c r="I140" i="8" s="1"/>
  <c r="U52" i="8"/>
  <c r="T52" i="8"/>
  <c r="P52" i="8"/>
  <c r="O52" i="8"/>
  <c r="N52" i="8"/>
  <c r="L52" i="8"/>
  <c r="K52" i="8"/>
  <c r="G83" i="11" s="1"/>
  <c r="F83" i="11" s="1"/>
  <c r="J52" i="8"/>
  <c r="I52" i="8"/>
  <c r="H52" i="8"/>
  <c r="G52" i="8"/>
  <c r="F52" i="8"/>
  <c r="B52" i="8"/>
  <c r="AI51" i="8"/>
  <c r="R139" i="8" s="1"/>
  <c r="AH51" i="8"/>
  <c r="Q139" i="8" s="1"/>
  <c r="AG51" i="8"/>
  <c r="P139" i="8" s="1"/>
  <c r="AF51" i="8"/>
  <c r="AE51" i="8"/>
  <c r="O139" i="8" s="1"/>
  <c r="AD51" i="8"/>
  <c r="N139" i="8" s="1"/>
  <c r="AC51" i="8"/>
  <c r="M139" i="8" s="1"/>
  <c r="AB51" i="8"/>
  <c r="AA51" i="8"/>
  <c r="Z51" i="8"/>
  <c r="K139" i="8" s="1"/>
  <c r="Y51" i="8"/>
  <c r="J139" i="8" s="1"/>
  <c r="X51" i="8"/>
  <c r="L139" i="8" s="1"/>
  <c r="W51" i="8"/>
  <c r="V51" i="8"/>
  <c r="I139" i="8" s="1"/>
  <c r="U51" i="8"/>
  <c r="T51" i="8"/>
  <c r="P51" i="8"/>
  <c r="O51" i="8"/>
  <c r="N51" i="8"/>
  <c r="M51" i="8"/>
  <c r="L51" i="8"/>
  <c r="K51" i="8"/>
  <c r="G82" i="11" s="1"/>
  <c r="J51" i="8"/>
  <c r="I51" i="8"/>
  <c r="H51" i="8"/>
  <c r="G51" i="8"/>
  <c r="F51" i="8"/>
  <c r="B51" i="8"/>
  <c r="AI50" i="8"/>
  <c r="R138" i="8" s="1"/>
  <c r="AH50" i="8"/>
  <c r="Q138" i="8" s="1"/>
  <c r="AG50" i="8"/>
  <c r="AF50" i="8"/>
  <c r="P138" i="8" s="1"/>
  <c r="AE50" i="8"/>
  <c r="O138" i="8" s="1"/>
  <c r="AD50" i="8"/>
  <c r="N138" i="8" s="1"/>
  <c r="AC50" i="8"/>
  <c r="M138" i="8" s="1"/>
  <c r="AB50" i="8"/>
  <c r="AA50" i="8"/>
  <c r="L138" i="8" s="1"/>
  <c r="Z50" i="8"/>
  <c r="K138" i="8" s="1"/>
  <c r="Y50" i="8"/>
  <c r="J138" i="8" s="1"/>
  <c r="X50" i="8"/>
  <c r="W50" i="8"/>
  <c r="V50" i="8"/>
  <c r="I138" i="8" s="1"/>
  <c r="U50" i="8"/>
  <c r="T50" i="8"/>
  <c r="P50" i="8"/>
  <c r="O50" i="8"/>
  <c r="N50" i="8"/>
  <c r="L50" i="8"/>
  <c r="K50" i="8"/>
  <c r="J50" i="8"/>
  <c r="I50" i="8"/>
  <c r="H50" i="8"/>
  <c r="G50" i="8"/>
  <c r="F50" i="8"/>
  <c r="B50" i="8"/>
  <c r="AI49" i="8"/>
  <c r="AH49" i="8"/>
  <c r="AG49" i="8"/>
  <c r="AF49" i="8"/>
  <c r="AE49" i="8"/>
  <c r="AD49" i="8"/>
  <c r="AC49" i="8"/>
  <c r="AB49" i="8"/>
  <c r="AA49" i="8"/>
  <c r="Z49" i="8"/>
  <c r="Y49" i="8"/>
  <c r="X49" i="8"/>
  <c r="L137" i="8" s="1"/>
  <c r="W49" i="8"/>
  <c r="V49" i="8"/>
  <c r="U49" i="8"/>
  <c r="T49" i="8"/>
  <c r="H137" i="8" s="1"/>
  <c r="P49" i="8"/>
  <c r="O49" i="8"/>
  <c r="N49" i="8"/>
  <c r="M49" i="8"/>
  <c r="L49" i="8"/>
  <c r="K49" i="8"/>
  <c r="G80" i="11" s="1"/>
  <c r="J49" i="8"/>
  <c r="I49" i="8"/>
  <c r="H49" i="8"/>
  <c r="G49" i="8"/>
  <c r="F49" i="8"/>
  <c r="B49" i="8"/>
  <c r="AI48" i="8"/>
  <c r="AH48" i="8"/>
  <c r="AG48" i="8"/>
  <c r="AF48" i="8"/>
  <c r="P136" i="8" s="1"/>
  <c r="AE48" i="8"/>
  <c r="AD48" i="8"/>
  <c r="AC48" i="8"/>
  <c r="AB48" i="8"/>
  <c r="AA48" i="8"/>
  <c r="Z48" i="8"/>
  <c r="Y48" i="8"/>
  <c r="X48" i="8"/>
  <c r="W48" i="8"/>
  <c r="V48" i="8"/>
  <c r="U48" i="8"/>
  <c r="T48" i="8"/>
  <c r="H136" i="8" s="1"/>
  <c r="P48" i="8"/>
  <c r="O48" i="8"/>
  <c r="N48" i="8"/>
  <c r="L48" i="8"/>
  <c r="K48" i="8"/>
  <c r="G79" i="11" s="1"/>
  <c r="F79" i="11" s="1"/>
  <c r="J48" i="8"/>
  <c r="I48" i="8"/>
  <c r="H48" i="8"/>
  <c r="G48" i="8"/>
  <c r="F48" i="8"/>
  <c r="B48" i="8"/>
  <c r="AI47" i="8"/>
  <c r="R135" i="8" s="1"/>
  <c r="AH47" i="8"/>
  <c r="AG47" i="8"/>
  <c r="P135" i="8" s="1"/>
  <c r="AF47" i="8"/>
  <c r="AE47" i="8"/>
  <c r="O135" i="8" s="1"/>
  <c r="AD47" i="8"/>
  <c r="AC47" i="8"/>
  <c r="AB47" i="8"/>
  <c r="AA47" i="8"/>
  <c r="Z47" i="8"/>
  <c r="Y47" i="8"/>
  <c r="X47" i="8"/>
  <c r="L135" i="8" s="1"/>
  <c r="W47" i="8"/>
  <c r="V47" i="8"/>
  <c r="U47" i="8"/>
  <c r="T47" i="8"/>
  <c r="P47" i="8"/>
  <c r="O47" i="8"/>
  <c r="N47" i="8"/>
  <c r="L47" i="8"/>
  <c r="K47" i="8"/>
  <c r="G78" i="11" s="1"/>
  <c r="J47" i="8"/>
  <c r="I47" i="8"/>
  <c r="H47" i="8"/>
  <c r="G47" i="8"/>
  <c r="F47" i="8"/>
  <c r="B47" i="8"/>
  <c r="AI46" i="8"/>
  <c r="AH46" i="8"/>
  <c r="AG46" i="8"/>
  <c r="AF46" i="8"/>
  <c r="AE46" i="8"/>
  <c r="AD46" i="8"/>
  <c r="AC46" i="8"/>
  <c r="AB46" i="8"/>
  <c r="AA46" i="8"/>
  <c r="Z46" i="8"/>
  <c r="Y46" i="8"/>
  <c r="X46" i="8"/>
  <c r="W46" i="8"/>
  <c r="V46" i="8"/>
  <c r="U46" i="8"/>
  <c r="T46" i="8"/>
  <c r="P46" i="8"/>
  <c r="O46" i="8"/>
  <c r="N46" i="8"/>
  <c r="M46" i="8" s="1"/>
  <c r="L46" i="8"/>
  <c r="K46" i="8"/>
  <c r="G77" i="11" s="1"/>
  <c r="F77" i="11" s="1"/>
  <c r="J46" i="8"/>
  <c r="I46" i="8"/>
  <c r="H46" i="8"/>
  <c r="G46" i="8"/>
  <c r="F46" i="8"/>
  <c r="B46" i="8"/>
  <c r="AI45" i="8"/>
  <c r="AH45" i="8"/>
  <c r="AG45" i="8"/>
  <c r="AF45" i="8"/>
  <c r="AE45" i="8"/>
  <c r="AD45" i="8"/>
  <c r="AC45" i="8"/>
  <c r="AB45" i="8"/>
  <c r="AA45" i="8"/>
  <c r="Z45" i="8"/>
  <c r="Y45" i="8"/>
  <c r="X45" i="8"/>
  <c r="W45" i="8"/>
  <c r="V45" i="8"/>
  <c r="U45" i="8"/>
  <c r="T45" i="8"/>
  <c r="P45" i="8"/>
  <c r="O45" i="8"/>
  <c r="N45" i="8"/>
  <c r="M45" i="8"/>
  <c r="L45" i="8"/>
  <c r="K45" i="8"/>
  <c r="G76" i="11" s="1"/>
  <c r="J45" i="8"/>
  <c r="I45" i="8"/>
  <c r="H45" i="8"/>
  <c r="G45" i="8"/>
  <c r="F45" i="8"/>
  <c r="B45" i="8"/>
  <c r="AI44" i="8"/>
  <c r="AH44" i="8"/>
  <c r="AG44" i="8"/>
  <c r="AF44" i="8"/>
  <c r="AE44" i="8"/>
  <c r="AD44" i="8"/>
  <c r="AC44" i="8"/>
  <c r="AB44" i="8"/>
  <c r="AA44" i="8"/>
  <c r="Z44" i="8"/>
  <c r="Y44" i="8"/>
  <c r="X44" i="8"/>
  <c r="W44" i="8"/>
  <c r="V44" i="8"/>
  <c r="U44" i="8"/>
  <c r="T44" i="8"/>
  <c r="P44" i="8"/>
  <c r="O44" i="8"/>
  <c r="N44" i="8"/>
  <c r="M44" i="8" s="1"/>
  <c r="L44" i="8"/>
  <c r="K44" i="8"/>
  <c r="G75" i="11" s="1"/>
  <c r="F75" i="11" s="1"/>
  <c r="J44" i="8"/>
  <c r="I44" i="8"/>
  <c r="H44" i="8"/>
  <c r="G44" i="8"/>
  <c r="F44" i="8"/>
  <c r="C44" i="8"/>
  <c r="E75" i="10" s="1"/>
  <c r="B44" i="8"/>
  <c r="AI43" i="8"/>
  <c r="AH43" i="8"/>
  <c r="AG43" i="8"/>
  <c r="AF43" i="8"/>
  <c r="AE43" i="8"/>
  <c r="AD43" i="8"/>
  <c r="AC43" i="8"/>
  <c r="AB43" i="8"/>
  <c r="AA43" i="8"/>
  <c r="Z43" i="8"/>
  <c r="Y43" i="8"/>
  <c r="X43" i="8"/>
  <c r="W43" i="8"/>
  <c r="V43" i="8"/>
  <c r="U43" i="8"/>
  <c r="T43" i="8"/>
  <c r="P43" i="8"/>
  <c r="O43" i="8"/>
  <c r="N43" i="8"/>
  <c r="M43" i="8"/>
  <c r="L43" i="8"/>
  <c r="D43" i="8" s="1"/>
  <c r="L74" i="10" s="1"/>
  <c r="K43" i="8"/>
  <c r="G74" i="11" s="1"/>
  <c r="J43" i="8"/>
  <c r="I43" i="8"/>
  <c r="H43" i="8"/>
  <c r="G43" i="8"/>
  <c r="F43" i="8"/>
  <c r="B43" i="8"/>
  <c r="AI42" i="8"/>
  <c r="AH42" i="8"/>
  <c r="AG42" i="8"/>
  <c r="AF42" i="8"/>
  <c r="AE42" i="8"/>
  <c r="AD42" i="8"/>
  <c r="AC42" i="8"/>
  <c r="AB42" i="8"/>
  <c r="AA42" i="8"/>
  <c r="Z42" i="8"/>
  <c r="Y42" i="8"/>
  <c r="X42" i="8"/>
  <c r="W42" i="8"/>
  <c r="V42" i="8"/>
  <c r="U42" i="8"/>
  <c r="T42" i="8"/>
  <c r="P42" i="8"/>
  <c r="O42" i="8"/>
  <c r="N42" i="8"/>
  <c r="M42" i="8" s="1"/>
  <c r="L42" i="8"/>
  <c r="K42" i="8"/>
  <c r="J42" i="8"/>
  <c r="I42" i="8"/>
  <c r="H42" i="8"/>
  <c r="G42" i="8"/>
  <c r="F42" i="8"/>
  <c r="B42" i="8"/>
  <c r="AI41" i="8"/>
  <c r="AH41" i="8"/>
  <c r="AG41" i="8"/>
  <c r="AF41" i="8"/>
  <c r="AE41" i="8"/>
  <c r="AD41" i="8"/>
  <c r="AC41" i="8"/>
  <c r="AB41" i="8"/>
  <c r="AA41" i="8"/>
  <c r="Z41" i="8"/>
  <c r="Y41" i="8"/>
  <c r="X41" i="8"/>
  <c r="W41" i="8"/>
  <c r="V41" i="8"/>
  <c r="U41" i="8"/>
  <c r="T41" i="8"/>
  <c r="P41" i="8"/>
  <c r="O41" i="8"/>
  <c r="N41" i="8"/>
  <c r="M41" i="8"/>
  <c r="L41" i="8"/>
  <c r="K41" i="8"/>
  <c r="G72" i="11" s="1"/>
  <c r="J41" i="8"/>
  <c r="I41" i="8"/>
  <c r="H41" i="8"/>
  <c r="G41" i="8"/>
  <c r="F41" i="8"/>
  <c r="B41" i="8"/>
  <c r="AI40" i="8"/>
  <c r="AH40" i="8"/>
  <c r="AG40" i="8"/>
  <c r="AF40" i="8"/>
  <c r="AE40" i="8"/>
  <c r="AD40" i="8"/>
  <c r="AC40" i="8"/>
  <c r="AB40" i="8"/>
  <c r="AA40" i="8"/>
  <c r="Z40" i="8"/>
  <c r="Y40" i="8"/>
  <c r="X40" i="8"/>
  <c r="W40" i="8"/>
  <c r="V40" i="8"/>
  <c r="U40" i="8"/>
  <c r="T40" i="8"/>
  <c r="P40" i="8"/>
  <c r="O40" i="8"/>
  <c r="N40" i="8"/>
  <c r="L40" i="8"/>
  <c r="K40" i="8"/>
  <c r="G71" i="11" s="1"/>
  <c r="F71" i="11" s="1"/>
  <c r="J40" i="8"/>
  <c r="I40" i="8"/>
  <c r="H40" i="8"/>
  <c r="G40" i="8"/>
  <c r="F40" i="8"/>
  <c r="B40" i="8"/>
  <c r="AI39" i="8"/>
  <c r="AH39" i="8"/>
  <c r="AG39" i="8"/>
  <c r="AF39" i="8"/>
  <c r="AE39" i="8"/>
  <c r="AD39" i="8"/>
  <c r="AC39" i="8"/>
  <c r="AB39" i="8"/>
  <c r="AA39" i="8"/>
  <c r="Z39" i="8"/>
  <c r="Y39" i="8"/>
  <c r="X39" i="8"/>
  <c r="W39" i="8"/>
  <c r="V39" i="8"/>
  <c r="U39" i="8"/>
  <c r="T39" i="8"/>
  <c r="P39" i="8"/>
  <c r="O39" i="8"/>
  <c r="N39" i="8"/>
  <c r="M39" i="8" s="1"/>
  <c r="L39" i="8"/>
  <c r="K39" i="8"/>
  <c r="G70" i="11" s="1"/>
  <c r="J39" i="8"/>
  <c r="I39" i="8"/>
  <c r="H39" i="8"/>
  <c r="G39" i="8"/>
  <c r="F39" i="8"/>
  <c r="B39" i="8"/>
  <c r="AI38" i="8"/>
  <c r="AH38" i="8"/>
  <c r="AG38" i="8"/>
  <c r="AF38" i="8"/>
  <c r="AE38" i="8"/>
  <c r="AD38" i="8"/>
  <c r="AC38" i="8"/>
  <c r="AB38" i="8"/>
  <c r="AA38" i="8"/>
  <c r="Z38" i="8"/>
  <c r="Y38" i="8"/>
  <c r="X38" i="8"/>
  <c r="W38" i="8"/>
  <c r="V38" i="8"/>
  <c r="U38" i="8"/>
  <c r="T38" i="8"/>
  <c r="P38" i="8"/>
  <c r="O38" i="8"/>
  <c r="N38" i="8"/>
  <c r="M38" i="8" s="1"/>
  <c r="L38" i="8"/>
  <c r="K38" i="8"/>
  <c r="G69" i="11" s="1"/>
  <c r="F69" i="11" s="1"/>
  <c r="J38" i="8"/>
  <c r="I38" i="8"/>
  <c r="H38" i="8"/>
  <c r="G38" i="8"/>
  <c r="F38" i="8"/>
  <c r="D38" i="8"/>
  <c r="L69" i="10" s="1"/>
  <c r="B38" i="8"/>
  <c r="AI37" i="8"/>
  <c r="AH37" i="8"/>
  <c r="AG37" i="8"/>
  <c r="AF37" i="8"/>
  <c r="AE37" i="8"/>
  <c r="AD37" i="8"/>
  <c r="AC37" i="8"/>
  <c r="AB37" i="8"/>
  <c r="AA37" i="8"/>
  <c r="Z37" i="8"/>
  <c r="Y37" i="8"/>
  <c r="X37" i="8"/>
  <c r="W37" i="8"/>
  <c r="V37" i="8"/>
  <c r="U37" i="8"/>
  <c r="T37" i="8"/>
  <c r="P37" i="8"/>
  <c r="O37" i="8"/>
  <c r="N37" i="8"/>
  <c r="M37" i="8"/>
  <c r="L37" i="8"/>
  <c r="K37" i="8"/>
  <c r="G68" i="11" s="1"/>
  <c r="J37" i="8"/>
  <c r="I37" i="8"/>
  <c r="H37" i="8"/>
  <c r="G37" i="8"/>
  <c r="F37" i="8"/>
  <c r="B37" i="8"/>
  <c r="AI36" i="8"/>
  <c r="AH36" i="8"/>
  <c r="AG36" i="8"/>
  <c r="AF36" i="8"/>
  <c r="AE36" i="8"/>
  <c r="AD36" i="8"/>
  <c r="AC36" i="8"/>
  <c r="AB36" i="8"/>
  <c r="AA36" i="8"/>
  <c r="Z36" i="8"/>
  <c r="Y36" i="8"/>
  <c r="X36" i="8"/>
  <c r="W36" i="8"/>
  <c r="V36" i="8"/>
  <c r="U36" i="8"/>
  <c r="T36" i="8"/>
  <c r="P36" i="8"/>
  <c r="O36" i="8"/>
  <c r="N36" i="8"/>
  <c r="M36" i="8" s="1"/>
  <c r="L36" i="8"/>
  <c r="K36" i="8"/>
  <c r="G67" i="11" s="1"/>
  <c r="F67" i="11" s="1"/>
  <c r="J36" i="8"/>
  <c r="I36" i="8"/>
  <c r="H36" i="8"/>
  <c r="G36" i="8"/>
  <c r="F36" i="8"/>
  <c r="C36" i="8"/>
  <c r="E67" i="10" s="1"/>
  <c r="B36" i="8"/>
  <c r="AI35" i="8"/>
  <c r="AH35" i="8"/>
  <c r="AG35" i="8"/>
  <c r="AF35" i="8"/>
  <c r="AE35" i="8"/>
  <c r="AD35" i="8"/>
  <c r="AC35" i="8"/>
  <c r="AB35" i="8"/>
  <c r="AA35" i="8"/>
  <c r="Z35" i="8"/>
  <c r="Y35" i="8"/>
  <c r="X35" i="8"/>
  <c r="W35" i="8"/>
  <c r="V35" i="8"/>
  <c r="U35" i="8"/>
  <c r="T35" i="8"/>
  <c r="P35" i="8"/>
  <c r="O35" i="8"/>
  <c r="N35" i="8"/>
  <c r="M35" i="8"/>
  <c r="L35" i="8"/>
  <c r="K35" i="8"/>
  <c r="G66" i="11" s="1"/>
  <c r="J35" i="8"/>
  <c r="I35" i="8"/>
  <c r="H35" i="8"/>
  <c r="G35" i="8"/>
  <c r="F35" i="8"/>
  <c r="D35" i="8"/>
  <c r="L66" i="10" s="1"/>
  <c r="B35" i="8"/>
  <c r="AI34" i="8"/>
  <c r="AH34" i="8"/>
  <c r="AG34" i="8"/>
  <c r="AF34" i="8"/>
  <c r="AE34" i="8"/>
  <c r="AD34" i="8"/>
  <c r="AC34" i="8"/>
  <c r="AB34" i="8"/>
  <c r="AA34" i="8"/>
  <c r="Z34" i="8"/>
  <c r="Y34" i="8"/>
  <c r="X34" i="8"/>
  <c r="W34" i="8"/>
  <c r="V34" i="8"/>
  <c r="U34" i="8"/>
  <c r="T34" i="8"/>
  <c r="P34" i="8"/>
  <c r="O34" i="8"/>
  <c r="D34" i="8" s="1"/>
  <c r="L65" i="10" s="1"/>
  <c r="N34" i="8"/>
  <c r="M34" i="8"/>
  <c r="L34" i="8"/>
  <c r="K34" i="8"/>
  <c r="G65" i="11" s="1"/>
  <c r="F65" i="11" s="1"/>
  <c r="J34" i="8"/>
  <c r="I34" i="8"/>
  <c r="H34" i="8"/>
  <c r="G34" i="8"/>
  <c r="F34" i="8"/>
  <c r="B34" i="8"/>
  <c r="AI33" i="8"/>
  <c r="AH33" i="8"/>
  <c r="AG33" i="8"/>
  <c r="AF33" i="8"/>
  <c r="AE33" i="8"/>
  <c r="AD33" i="8"/>
  <c r="AC33" i="8"/>
  <c r="AB33" i="8"/>
  <c r="AA33" i="8"/>
  <c r="Z33" i="8"/>
  <c r="Y33" i="8"/>
  <c r="X33" i="8"/>
  <c r="W33" i="8"/>
  <c r="V33" i="8"/>
  <c r="U33" i="8"/>
  <c r="T33" i="8"/>
  <c r="S33" i="8"/>
  <c r="P33" i="8"/>
  <c r="O33" i="8"/>
  <c r="N33" i="8"/>
  <c r="L33" i="8"/>
  <c r="K33" i="8"/>
  <c r="G64" i="11" s="1"/>
  <c r="F64" i="11" s="1"/>
  <c r="J33" i="8"/>
  <c r="I33" i="8"/>
  <c r="H33" i="8"/>
  <c r="G33" i="8"/>
  <c r="F33" i="8"/>
  <c r="B33" i="8"/>
  <c r="AI32" i="8"/>
  <c r="AH32" i="8"/>
  <c r="AG32" i="8"/>
  <c r="AF32" i="8"/>
  <c r="AE32" i="8"/>
  <c r="AD32" i="8"/>
  <c r="AC32" i="8"/>
  <c r="AB32" i="8"/>
  <c r="AA32" i="8"/>
  <c r="Z32" i="8"/>
  <c r="Y32" i="8"/>
  <c r="X32" i="8"/>
  <c r="W32" i="8"/>
  <c r="V32" i="8"/>
  <c r="U32" i="8"/>
  <c r="T32" i="8"/>
  <c r="Q32" i="8"/>
  <c r="P32" i="8"/>
  <c r="O32" i="8"/>
  <c r="N32" i="8"/>
  <c r="M32" i="8"/>
  <c r="L32" i="8"/>
  <c r="K32" i="8"/>
  <c r="G63" i="11" s="1"/>
  <c r="F63" i="11" s="1"/>
  <c r="J32" i="8"/>
  <c r="I32" i="8"/>
  <c r="H32" i="8"/>
  <c r="G32" i="8"/>
  <c r="F32" i="8"/>
  <c r="B32" i="8"/>
  <c r="AI31" i="8"/>
  <c r="AH31" i="8"/>
  <c r="AG31" i="8"/>
  <c r="AF31" i="8"/>
  <c r="AE31" i="8"/>
  <c r="AD31" i="8"/>
  <c r="AC31" i="8"/>
  <c r="AB31" i="8"/>
  <c r="AA31" i="8"/>
  <c r="Z31" i="8"/>
  <c r="Y31" i="8"/>
  <c r="X31" i="8"/>
  <c r="W31" i="8"/>
  <c r="V31" i="8"/>
  <c r="U31" i="8"/>
  <c r="T31" i="8"/>
  <c r="S31" i="8"/>
  <c r="P31" i="8"/>
  <c r="O31" i="8"/>
  <c r="N31" i="8"/>
  <c r="L31" i="8"/>
  <c r="K31" i="8"/>
  <c r="G62" i="11" s="1"/>
  <c r="F62" i="11" s="1"/>
  <c r="J31" i="8"/>
  <c r="I31" i="8"/>
  <c r="H31" i="8"/>
  <c r="G31" i="8"/>
  <c r="F31" i="8"/>
  <c r="B31" i="8"/>
  <c r="AI30" i="8"/>
  <c r="AH30" i="8"/>
  <c r="AG30" i="8"/>
  <c r="AF30" i="8"/>
  <c r="AE30" i="8"/>
  <c r="AD30" i="8"/>
  <c r="AC30" i="8"/>
  <c r="AB30" i="8"/>
  <c r="AA30" i="8"/>
  <c r="Z30" i="8"/>
  <c r="Y30" i="8"/>
  <c r="X30" i="8"/>
  <c r="W30" i="8"/>
  <c r="V30" i="8"/>
  <c r="U30" i="8"/>
  <c r="T30" i="8"/>
  <c r="Q30" i="8"/>
  <c r="P30" i="8"/>
  <c r="O30" i="8"/>
  <c r="N30" i="8"/>
  <c r="M30" i="8"/>
  <c r="L30" i="8"/>
  <c r="K30" i="8"/>
  <c r="G61" i="11" s="1"/>
  <c r="F61" i="11" s="1"/>
  <c r="J30" i="8"/>
  <c r="I30" i="8"/>
  <c r="C30" i="8" s="1"/>
  <c r="E61" i="10" s="1"/>
  <c r="H30" i="8"/>
  <c r="G30" i="8"/>
  <c r="F30" i="8"/>
  <c r="B30" i="8"/>
  <c r="AI29" i="8"/>
  <c r="AH29" i="8"/>
  <c r="AG29" i="8"/>
  <c r="AF29" i="8"/>
  <c r="AE29" i="8"/>
  <c r="AD29" i="8"/>
  <c r="AC29" i="8"/>
  <c r="AB29" i="8"/>
  <c r="AA29" i="8"/>
  <c r="Z29" i="8"/>
  <c r="Y29" i="8"/>
  <c r="X29" i="8"/>
  <c r="W29" i="8"/>
  <c r="V29" i="8"/>
  <c r="U29" i="8"/>
  <c r="T29" i="8"/>
  <c r="S29" i="8"/>
  <c r="P29" i="8"/>
  <c r="O29" i="8"/>
  <c r="N29" i="8"/>
  <c r="L29" i="8"/>
  <c r="K29" i="8"/>
  <c r="G60" i="11" s="1"/>
  <c r="F60" i="11" s="1"/>
  <c r="J29" i="8"/>
  <c r="I29" i="8"/>
  <c r="H29" i="8"/>
  <c r="G29" i="8"/>
  <c r="F29" i="8"/>
  <c r="B29" i="8"/>
  <c r="AI28" i="8"/>
  <c r="AH28" i="8"/>
  <c r="AG28" i="8"/>
  <c r="AF28" i="8"/>
  <c r="AE28" i="8"/>
  <c r="AD28" i="8"/>
  <c r="AC28" i="8"/>
  <c r="AB28" i="8"/>
  <c r="AA28" i="8"/>
  <c r="Z28" i="8"/>
  <c r="Y28" i="8"/>
  <c r="X28" i="8"/>
  <c r="W28" i="8"/>
  <c r="V28" i="8"/>
  <c r="U28" i="8"/>
  <c r="T28" i="8"/>
  <c r="Q28" i="8"/>
  <c r="P28" i="8"/>
  <c r="O28" i="8"/>
  <c r="N28" i="8"/>
  <c r="M28" i="8"/>
  <c r="L28" i="8"/>
  <c r="K28" i="8"/>
  <c r="G59" i="11" s="1"/>
  <c r="F59" i="11" s="1"/>
  <c r="J28" i="8"/>
  <c r="I28" i="8"/>
  <c r="C28" i="8" s="1"/>
  <c r="E59" i="10" s="1"/>
  <c r="H28" i="8"/>
  <c r="G28" i="8"/>
  <c r="F28" i="8"/>
  <c r="B28" i="8"/>
  <c r="AI27" i="8"/>
  <c r="AH27" i="8"/>
  <c r="AG27" i="8"/>
  <c r="AF27" i="8"/>
  <c r="AE27" i="8"/>
  <c r="AD27" i="8"/>
  <c r="AC27" i="8"/>
  <c r="AB27" i="8"/>
  <c r="AA27" i="8"/>
  <c r="Z27" i="8"/>
  <c r="Y27" i="8"/>
  <c r="X27" i="8"/>
  <c r="W27" i="8"/>
  <c r="V27" i="8"/>
  <c r="U27" i="8"/>
  <c r="T27" i="8"/>
  <c r="S27" i="8"/>
  <c r="P27" i="8"/>
  <c r="O27" i="8"/>
  <c r="N27" i="8"/>
  <c r="L27" i="8"/>
  <c r="K27" i="8"/>
  <c r="G58" i="11" s="1"/>
  <c r="F58" i="11" s="1"/>
  <c r="J27" i="8"/>
  <c r="I27" i="8"/>
  <c r="H27" i="8"/>
  <c r="G27" i="8"/>
  <c r="F27" i="8"/>
  <c r="C27" i="8"/>
  <c r="B27" i="8"/>
  <c r="AI26" i="8"/>
  <c r="AH26" i="8"/>
  <c r="AG26" i="8"/>
  <c r="AF26" i="8"/>
  <c r="AE26" i="8"/>
  <c r="AD26" i="8"/>
  <c r="AC26" i="8"/>
  <c r="AB26" i="8"/>
  <c r="AA26" i="8"/>
  <c r="Z26" i="8"/>
  <c r="Y26" i="8"/>
  <c r="X26" i="8"/>
  <c r="W26" i="8"/>
  <c r="V26" i="8"/>
  <c r="U26" i="8"/>
  <c r="T26" i="8"/>
  <c r="P26" i="8"/>
  <c r="O26" i="8"/>
  <c r="D26" i="8" s="1"/>
  <c r="L57" i="10" s="1"/>
  <c r="J57" i="9" s="1"/>
  <c r="N26" i="8"/>
  <c r="M26" i="8"/>
  <c r="L26" i="8"/>
  <c r="K26" i="8"/>
  <c r="G57" i="11" s="1"/>
  <c r="F57" i="11" s="1"/>
  <c r="J26" i="8"/>
  <c r="I26" i="8"/>
  <c r="H26" i="8"/>
  <c r="G26" i="8"/>
  <c r="F26" i="8"/>
  <c r="B26" i="8"/>
  <c r="AI25" i="8"/>
  <c r="AH25" i="8"/>
  <c r="AG25" i="8"/>
  <c r="AF25" i="8"/>
  <c r="AE25" i="8"/>
  <c r="AD25" i="8"/>
  <c r="AC25" i="8"/>
  <c r="AB25" i="8"/>
  <c r="AA25" i="8"/>
  <c r="Z25" i="8"/>
  <c r="Y25" i="8"/>
  <c r="X25" i="8"/>
  <c r="W25" i="8"/>
  <c r="V25" i="8"/>
  <c r="U25" i="8"/>
  <c r="T25" i="8"/>
  <c r="S25" i="8"/>
  <c r="P25" i="8"/>
  <c r="O25" i="8"/>
  <c r="N25" i="8"/>
  <c r="L25" i="8"/>
  <c r="K25" i="8"/>
  <c r="G56" i="11" s="1"/>
  <c r="F56" i="11" s="1"/>
  <c r="J25" i="8"/>
  <c r="I25" i="8"/>
  <c r="H25" i="8"/>
  <c r="G25" i="8"/>
  <c r="F25" i="8"/>
  <c r="B25" i="8"/>
  <c r="AI24" i="8"/>
  <c r="AH24" i="8"/>
  <c r="AG24" i="8"/>
  <c r="AF24" i="8"/>
  <c r="AE24" i="8"/>
  <c r="AD24" i="8"/>
  <c r="AC24" i="8"/>
  <c r="AB24" i="8"/>
  <c r="AA24" i="8"/>
  <c r="Z24" i="8"/>
  <c r="Y24" i="8"/>
  <c r="X24" i="8"/>
  <c r="W24" i="8"/>
  <c r="V24" i="8"/>
  <c r="U24" i="8"/>
  <c r="T24" i="8"/>
  <c r="Q24" i="8"/>
  <c r="P24" i="8"/>
  <c r="O24" i="8"/>
  <c r="N24" i="8"/>
  <c r="M24" i="8"/>
  <c r="L24" i="8"/>
  <c r="K24" i="8"/>
  <c r="G55" i="11" s="1"/>
  <c r="F55" i="11" s="1"/>
  <c r="J24" i="8"/>
  <c r="I24" i="8"/>
  <c r="H24" i="8"/>
  <c r="G24" i="8"/>
  <c r="F24" i="8"/>
  <c r="B24" i="8"/>
  <c r="AI23" i="8"/>
  <c r="AH23" i="8"/>
  <c r="AG23" i="8"/>
  <c r="AF23" i="8"/>
  <c r="AE23" i="8"/>
  <c r="AD23" i="8"/>
  <c r="AC23" i="8"/>
  <c r="AB23" i="8"/>
  <c r="AA23" i="8"/>
  <c r="Z23" i="8"/>
  <c r="Y23" i="8"/>
  <c r="X23" i="8"/>
  <c r="W23" i="8"/>
  <c r="V23" i="8"/>
  <c r="U23" i="8"/>
  <c r="T23" i="8"/>
  <c r="S23" i="8"/>
  <c r="P23" i="8"/>
  <c r="O23" i="8"/>
  <c r="N23" i="8"/>
  <c r="L23" i="8"/>
  <c r="K23" i="8"/>
  <c r="G54" i="11" s="1"/>
  <c r="F54" i="11" s="1"/>
  <c r="J23" i="8"/>
  <c r="I23" i="8"/>
  <c r="H23" i="8"/>
  <c r="G23" i="8"/>
  <c r="F23" i="8"/>
  <c r="B23" i="8"/>
  <c r="AI22" i="8"/>
  <c r="AH22" i="8"/>
  <c r="AG22" i="8"/>
  <c r="AF22" i="8"/>
  <c r="AE22" i="8"/>
  <c r="AD22" i="8"/>
  <c r="AC22" i="8"/>
  <c r="AB22" i="8"/>
  <c r="AA22" i="8"/>
  <c r="Z22" i="8"/>
  <c r="Y22" i="8"/>
  <c r="X22" i="8"/>
  <c r="W22" i="8"/>
  <c r="V22" i="8"/>
  <c r="U22" i="8"/>
  <c r="T22" i="8"/>
  <c r="Q22" i="8"/>
  <c r="P22" i="8"/>
  <c r="O22" i="8"/>
  <c r="N22" i="8"/>
  <c r="M22" i="8"/>
  <c r="L22" i="8"/>
  <c r="K22" i="8"/>
  <c r="G53" i="11" s="1"/>
  <c r="J22" i="8"/>
  <c r="I22" i="8"/>
  <c r="C22" i="8" s="1"/>
  <c r="E53" i="10" s="1"/>
  <c r="H22" i="8"/>
  <c r="G22" i="8"/>
  <c r="F22" i="8"/>
  <c r="B22" i="8"/>
  <c r="AI21" i="8"/>
  <c r="AH21" i="8"/>
  <c r="AG21" i="8"/>
  <c r="AF21" i="8"/>
  <c r="AE21" i="8"/>
  <c r="AD21" i="8"/>
  <c r="AC21" i="8"/>
  <c r="AB21" i="8"/>
  <c r="AA21" i="8"/>
  <c r="Z21" i="8"/>
  <c r="Y21" i="8"/>
  <c r="X21" i="8"/>
  <c r="W21" i="8"/>
  <c r="V21" i="8"/>
  <c r="U21" i="8"/>
  <c r="T21" i="8"/>
  <c r="S21" i="8"/>
  <c r="P21" i="8"/>
  <c r="O21" i="8"/>
  <c r="N21" i="8"/>
  <c r="L21" i="8"/>
  <c r="K21" i="8"/>
  <c r="G52" i="11" s="1"/>
  <c r="F52" i="11" s="1"/>
  <c r="J21" i="8"/>
  <c r="I21" i="8"/>
  <c r="H21" i="8"/>
  <c r="G21" i="8"/>
  <c r="F21" i="8"/>
  <c r="B21" i="8"/>
  <c r="AI20" i="8"/>
  <c r="AH20" i="8"/>
  <c r="AG20" i="8"/>
  <c r="AF20" i="8"/>
  <c r="AE20" i="8"/>
  <c r="AD20" i="8"/>
  <c r="AC20" i="8"/>
  <c r="AB20" i="8"/>
  <c r="AA20" i="8"/>
  <c r="Z20" i="8"/>
  <c r="Y20" i="8"/>
  <c r="X20" i="8"/>
  <c r="W20" i="8"/>
  <c r="V20" i="8"/>
  <c r="U20" i="8"/>
  <c r="T20" i="8"/>
  <c r="Q20" i="8"/>
  <c r="P20" i="8"/>
  <c r="O20" i="8"/>
  <c r="N20" i="8"/>
  <c r="M20" i="8"/>
  <c r="L20" i="8"/>
  <c r="K20" i="8"/>
  <c r="G51" i="11" s="1"/>
  <c r="J20" i="8"/>
  <c r="I20" i="8"/>
  <c r="C20" i="8" s="1"/>
  <c r="E51" i="10" s="1"/>
  <c r="H20" i="8"/>
  <c r="G20" i="8"/>
  <c r="F20" i="8"/>
  <c r="B20" i="8"/>
  <c r="AI19" i="8"/>
  <c r="AH19" i="8"/>
  <c r="AG19" i="8"/>
  <c r="AF19" i="8"/>
  <c r="AE19" i="8"/>
  <c r="AD19" i="8"/>
  <c r="AC19" i="8"/>
  <c r="AB19" i="8"/>
  <c r="AA19" i="8"/>
  <c r="Z19" i="8"/>
  <c r="Y19" i="8"/>
  <c r="X19" i="8"/>
  <c r="W19" i="8"/>
  <c r="V19" i="8"/>
  <c r="U19" i="8"/>
  <c r="T19" i="8"/>
  <c r="S19" i="8"/>
  <c r="P19" i="8"/>
  <c r="O19" i="8"/>
  <c r="N19" i="8"/>
  <c r="L19" i="8"/>
  <c r="K19" i="8"/>
  <c r="G50" i="11" s="1"/>
  <c r="F50" i="11" s="1"/>
  <c r="J19" i="8"/>
  <c r="I19" i="8"/>
  <c r="H19" i="8"/>
  <c r="G19" i="8"/>
  <c r="F19" i="8"/>
  <c r="C19" i="8"/>
  <c r="B19" i="8"/>
  <c r="AI18" i="8"/>
  <c r="AH18" i="8"/>
  <c r="AG18" i="8"/>
  <c r="AF18" i="8"/>
  <c r="AE18" i="8"/>
  <c r="AD18" i="8"/>
  <c r="AC18" i="8"/>
  <c r="AB18" i="8"/>
  <c r="AA18" i="8"/>
  <c r="Z18" i="8"/>
  <c r="Y18" i="8"/>
  <c r="X18" i="8"/>
  <c r="W18" i="8"/>
  <c r="V18" i="8"/>
  <c r="U18" i="8"/>
  <c r="T18" i="8"/>
  <c r="P18" i="8"/>
  <c r="O18" i="8"/>
  <c r="D18" i="8" s="1"/>
  <c r="L49" i="10" s="1"/>
  <c r="J49" i="9" s="1"/>
  <c r="N18" i="8"/>
  <c r="M18" i="8"/>
  <c r="L18" i="8"/>
  <c r="K18" i="8"/>
  <c r="G49" i="11" s="1"/>
  <c r="J18" i="8"/>
  <c r="I18" i="8"/>
  <c r="H18" i="8"/>
  <c r="G18" i="8"/>
  <c r="F18" i="8"/>
  <c r="B18" i="8"/>
  <c r="AI17" i="8"/>
  <c r="AH17" i="8"/>
  <c r="AG17" i="8"/>
  <c r="AF17" i="8"/>
  <c r="AE17" i="8"/>
  <c r="AD17" i="8"/>
  <c r="AC17" i="8"/>
  <c r="AB17" i="8"/>
  <c r="AA17" i="8"/>
  <c r="Z17" i="8"/>
  <c r="Y17" i="8"/>
  <c r="X17" i="8"/>
  <c r="W17" i="8"/>
  <c r="V17" i="8"/>
  <c r="U17" i="8"/>
  <c r="T17" i="8"/>
  <c r="S17" i="8"/>
  <c r="P17" i="8"/>
  <c r="O17" i="8"/>
  <c r="N17" i="8"/>
  <c r="L17" i="8"/>
  <c r="K17" i="8"/>
  <c r="G48" i="11" s="1"/>
  <c r="F48" i="11" s="1"/>
  <c r="J17" i="8"/>
  <c r="I17" i="8"/>
  <c r="H17" i="8"/>
  <c r="G17" i="8"/>
  <c r="F17" i="8"/>
  <c r="B17" i="8"/>
  <c r="AI16" i="8"/>
  <c r="AH16" i="8"/>
  <c r="AG16" i="8"/>
  <c r="AF16" i="8"/>
  <c r="AE16" i="8"/>
  <c r="AD16" i="8"/>
  <c r="AC16" i="8"/>
  <c r="AB16" i="8"/>
  <c r="AA16" i="8"/>
  <c r="Z16" i="8"/>
  <c r="Y16" i="8"/>
  <c r="X16" i="8"/>
  <c r="W16" i="8"/>
  <c r="V16" i="8"/>
  <c r="U16" i="8"/>
  <c r="T16" i="8"/>
  <c r="Q16" i="8"/>
  <c r="P16" i="8"/>
  <c r="O16" i="8"/>
  <c r="N16" i="8"/>
  <c r="M16" i="8"/>
  <c r="L16" i="8"/>
  <c r="K16" i="8"/>
  <c r="G47" i="11" s="1"/>
  <c r="J16" i="8"/>
  <c r="I16" i="8"/>
  <c r="H16" i="8"/>
  <c r="G16" i="8"/>
  <c r="F16" i="8"/>
  <c r="B16" i="8"/>
  <c r="AI15" i="8"/>
  <c r="AH15" i="8"/>
  <c r="AG15" i="8"/>
  <c r="AF15" i="8"/>
  <c r="AE15" i="8"/>
  <c r="AD15" i="8"/>
  <c r="AC15" i="8"/>
  <c r="AB15" i="8"/>
  <c r="AA15" i="8"/>
  <c r="Z15" i="8"/>
  <c r="Y15" i="8"/>
  <c r="X15" i="8"/>
  <c r="W15" i="8"/>
  <c r="V15" i="8"/>
  <c r="U15" i="8"/>
  <c r="T15" i="8"/>
  <c r="S15" i="8"/>
  <c r="P15" i="8"/>
  <c r="O15" i="8"/>
  <c r="N15" i="8"/>
  <c r="L15" i="8"/>
  <c r="K15" i="8"/>
  <c r="G46" i="11" s="1"/>
  <c r="F46" i="11" s="1"/>
  <c r="J15" i="8"/>
  <c r="I15" i="8"/>
  <c r="H15" i="8"/>
  <c r="G15" i="8"/>
  <c r="F15" i="8"/>
  <c r="B15" i="8"/>
  <c r="AI14" i="8"/>
  <c r="AH14" i="8"/>
  <c r="AG14" i="8"/>
  <c r="AF14" i="8"/>
  <c r="AE14" i="8"/>
  <c r="AD14" i="8"/>
  <c r="AC14" i="8"/>
  <c r="AB14" i="8"/>
  <c r="AA14" i="8"/>
  <c r="Z14" i="8"/>
  <c r="Y14" i="8"/>
  <c r="X14" i="8"/>
  <c r="W14" i="8"/>
  <c r="V14" i="8"/>
  <c r="U14" i="8"/>
  <c r="T14" i="8"/>
  <c r="Q14" i="8"/>
  <c r="P14" i="8"/>
  <c r="O14" i="8"/>
  <c r="N14" i="8"/>
  <c r="M14" i="8"/>
  <c r="L14" i="8"/>
  <c r="K14" i="8"/>
  <c r="G45" i="11" s="1"/>
  <c r="J14" i="8"/>
  <c r="I14" i="8"/>
  <c r="C14" i="8" s="1"/>
  <c r="E45" i="10" s="1"/>
  <c r="H14" i="8"/>
  <c r="G14" i="8"/>
  <c r="F14" i="8"/>
  <c r="B14" i="8"/>
  <c r="AI13" i="8"/>
  <c r="AH13" i="8"/>
  <c r="AG13" i="8"/>
  <c r="AF13" i="8"/>
  <c r="AE13" i="8"/>
  <c r="AD13" i="8"/>
  <c r="AC13" i="8"/>
  <c r="AB13" i="8"/>
  <c r="AA13" i="8"/>
  <c r="Z13" i="8"/>
  <c r="Y13" i="8"/>
  <c r="X13" i="8"/>
  <c r="W13" i="8"/>
  <c r="V13" i="8"/>
  <c r="U13" i="8"/>
  <c r="T13" i="8"/>
  <c r="S13" i="8"/>
  <c r="P13" i="8"/>
  <c r="O13" i="8"/>
  <c r="N13" i="8"/>
  <c r="L13" i="8"/>
  <c r="K13" i="8"/>
  <c r="G44" i="11" s="1"/>
  <c r="F44" i="11" s="1"/>
  <c r="J13" i="8"/>
  <c r="I13" i="8"/>
  <c r="H13" i="8"/>
  <c r="G13" i="8"/>
  <c r="F13" i="8"/>
  <c r="B13" i="8"/>
  <c r="AI12" i="8"/>
  <c r="AH12" i="8"/>
  <c r="AG12" i="8"/>
  <c r="AF12" i="8"/>
  <c r="AE12" i="8"/>
  <c r="AD12" i="8"/>
  <c r="AC12" i="8"/>
  <c r="AB12" i="8"/>
  <c r="AA12" i="8"/>
  <c r="Z12" i="8"/>
  <c r="Y12" i="8"/>
  <c r="X12" i="8"/>
  <c r="W12" i="8"/>
  <c r="V12" i="8"/>
  <c r="U12" i="8"/>
  <c r="T12" i="8"/>
  <c r="Q12" i="8"/>
  <c r="P12" i="8"/>
  <c r="O12" i="8"/>
  <c r="N12" i="8"/>
  <c r="M12" i="8"/>
  <c r="L12" i="8"/>
  <c r="K12" i="8"/>
  <c r="J12" i="8"/>
  <c r="I12" i="8"/>
  <c r="C12" i="8" s="1"/>
  <c r="E43" i="10" s="1"/>
  <c r="H12" i="8"/>
  <c r="G12" i="8"/>
  <c r="F12" i="8"/>
  <c r="B12" i="8"/>
  <c r="AI11" i="8"/>
  <c r="AH11" i="8"/>
  <c r="AG11" i="8"/>
  <c r="AF11" i="8"/>
  <c r="AE11" i="8"/>
  <c r="AD11" i="8"/>
  <c r="AC11" i="8"/>
  <c r="AB11" i="8"/>
  <c r="AA11" i="8"/>
  <c r="Z11" i="8"/>
  <c r="Y11" i="8"/>
  <c r="X11" i="8"/>
  <c r="W11" i="8"/>
  <c r="V11" i="8"/>
  <c r="U11" i="8"/>
  <c r="T11" i="8"/>
  <c r="S11" i="8"/>
  <c r="P11" i="8"/>
  <c r="O11" i="8"/>
  <c r="N11" i="8"/>
  <c r="L11" i="8"/>
  <c r="K11" i="8"/>
  <c r="J11" i="8"/>
  <c r="I11" i="8"/>
  <c r="H11" i="8"/>
  <c r="G11" i="8"/>
  <c r="F11" i="8"/>
  <c r="C11" i="8"/>
  <c r="B11" i="8"/>
  <c r="AI10" i="8"/>
  <c r="AH10" i="8"/>
  <c r="AG10" i="8"/>
  <c r="AF10" i="8"/>
  <c r="AE10" i="8"/>
  <c r="AD10" i="8"/>
  <c r="AC10" i="8"/>
  <c r="AB10" i="8"/>
  <c r="AA10" i="8"/>
  <c r="Z10" i="8"/>
  <c r="Y10" i="8"/>
  <c r="X10" i="8"/>
  <c r="W10" i="8"/>
  <c r="V10" i="8"/>
  <c r="U10" i="8"/>
  <c r="T10" i="8"/>
  <c r="P10" i="8"/>
  <c r="O10" i="8"/>
  <c r="D10" i="8" s="1"/>
  <c r="L41" i="10" s="1"/>
  <c r="N10" i="8"/>
  <c r="M10" i="8"/>
  <c r="L10" i="8"/>
  <c r="K10" i="8"/>
  <c r="J10" i="8"/>
  <c r="I10" i="8"/>
  <c r="H10" i="8"/>
  <c r="G10" i="8"/>
  <c r="F10" i="8"/>
  <c r="B10" i="8"/>
  <c r="AI9" i="8"/>
  <c r="AH9" i="8"/>
  <c r="AG9" i="8"/>
  <c r="AF9" i="8"/>
  <c r="AE9" i="8"/>
  <c r="AD9" i="8"/>
  <c r="AC9" i="8"/>
  <c r="AB9" i="8"/>
  <c r="AA9" i="8"/>
  <c r="Z9" i="8"/>
  <c r="Y9" i="8"/>
  <c r="X9" i="8"/>
  <c r="W9" i="8"/>
  <c r="V9" i="8"/>
  <c r="U9" i="8"/>
  <c r="T9" i="8"/>
  <c r="S9" i="8"/>
  <c r="P9" i="8"/>
  <c r="O9" i="8"/>
  <c r="N9" i="8"/>
  <c r="L9" i="8"/>
  <c r="K9" i="8"/>
  <c r="J9" i="8"/>
  <c r="I9" i="8"/>
  <c r="H9" i="8"/>
  <c r="G9" i="8"/>
  <c r="F9" i="8"/>
  <c r="B9" i="8"/>
  <c r="AI8" i="8"/>
  <c r="AH8" i="8"/>
  <c r="AG8" i="8"/>
  <c r="AF8" i="8"/>
  <c r="AE8" i="8"/>
  <c r="AD8" i="8"/>
  <c r="AC8" i="8"/>
  <c r="AB8" i="8"/>
  <c r="AA8" i="8"/>
  <c r="Z8" i="8"/>
  <c r="Y8" i="8"/>
  <c r="X8" i="8"/>
  <c r="W8" i="8"/>
  <c r="V8" i="8"/>
  <c r="U8" i="8"/>
  <c r="T8" i="8"/>
  <c r="Q8" i="8"/>
  <c r="P8" i="8"/>
  <c r="O8" i="8"/>
  <c r="N8" i="8"/>
  <c r="M8" i="8"/>
  <c r="L8" i="8"/>
  <c r="K8" i="8"/>
  <c r="J8" i="8"/>
  <c r="I8" i="8"/>
  <c r="H8" i="8"/>
  <c r="G8" i="8"/>
  <c r="F8" i="8"/>
  <c r="B8" i="8"/>
  <c r="AI7" i="8"/>
  <c r="AH7" i="8"/>
  <c r="AG7" i="8"/>
  <c r="AF7" i="8"/>
  <c r="AE7" i="8"/>
  <c r="AD7" i="8"/>
  <c r="AC7" i="8"/>
  <c r="AB7" i="8"/>
  <c r="AA7" i="8"/>
  <c r="Z7" i="8"/>
  <c r="Y7" i="8"/>
  <c r="X7" i="8"/>
  <c r="W7" i="8"/>
  <c r="V7" i="8"/>
  <c r="U7" i="8"/>
  <c r="T7" i="8"/>
  <c r="S7" i="8"/>
  <c r="P7" i="8"/>
  <c r="O7" i="8"/>
  <c r="N7" i="8"/>
  <c r="L7" i="8"/>
  <c r="K7" i="8"/>
  <c r="C7" i="8" s="1"/>
  <c r="J7" i="8"/>
  <c r="I7" i="8"/>
  <c r="H7" i="8"/>
  <c r="G7" i="8"/>
  <c r="F7" i="8"/>
  <c r="B7" i="8"/>
  <c r="A66" i="7"/>
  <c r="A65" i="7"/>
  <c r="A64" i="7"/>
  <c r="A63" i="7"/>
  <c r="K58" i="7"/>
  <c r="K57" i="7"/>
  <c r="K56" i="7"/>
  <c r="K55" i="7"/>
  <c r="K54" i="7"/>
  <c r="K53" i="7"/>
  <c r="K52" i="7"/>
  <c r="K51" i="7"/>
  <c r="K50" i="7"/>
  <c r="K49" i="7"/>
  <c r="Q48" i="7"/>
  <c r="P48" i="7"/>
  <c r="K48" i="7"/>
  <c r="P47" i="7"/>
  <c r="Q47" i="7" s="1"/>
  <c r="K47" i="7"/>
  <c r="P46" i="7"/>
  <c r="Q46" i="7" s="1"/>
  <c r="K46" i="7"/>
  <c r="P45" i="7"/>
  <c r="Q45" i="7" s="1"/>
  <c r="K45" i="7"/>
  <c r="Q44" i="7"/>
  <c r="P44" i="7"/>
  <c r="K44" i="7"/>
  <c r="P43" i="7"/>
  <c r="Q43" i="7" s="1"/>
  <c r="K43" i="7"/>
  <c r="P42" i="7"/>
  <c r="Q42" i="7" s="1"/>
  <c r="K42" i="7"/>
  <c r="P41" i="7"/>
  <c r="Q41" i="7" s="1"/>
  <c r="K41" i="7"/>
  <c r="Q40" i="7"/>
  <c r="P40" i="7"/>
  <c r="K40" i="7"/>
  <c r="P39" i="7"/>
  <c r="Q39" i="7" s="1"/>
  <c r="K39" i="7"/>
  <c r="P38" i="7"/>
  <c r="Q38" i="7" s="1"/>
  <c r="K38" i="7"/>
  <c r="P37" i="7"/>
  <c r="Q37" i="7" s="1"/>
  <c r="K37" i="7"/>
  <c r="Q36" i="7"/>
  <c r="P36" i="7"/>
  <c r="K36" i="7"/>
  <c r="P35" i="7"/>
  <c r="Q35" i="7" s="1"/>
  <c r="K35" i="7"/>
  <c r="P34" i="7"/>
  <c r="Q34" i="7" s="1"/>
  <c r="K34" i="7"/>
  <c r="P33" i="7"/>
  <c r="Q33" i="7" s="1"/>
  <c r="K33" i="7"/>
  <c r="Q32" i="7"/>
  <c r="P32" i="7"/>
  <c r="K32" i="7"/>
  <c r="P31" i="7"/>
  <c r="Q31" i="7" s="1"/>
  <c r="K31" i="7"/>
  <c r="P30" i="7"/>
  <c r="Q30" i="7" s="1"/>
  <c r="K30" i="7"/>
  <c r="P29" i="7"/>
  <c r="Q29" i="7" s="1"/>
  <c r="K29" i="7"/>
  <c r="Q28" i="7"/>
  <c r="P28" i="7"/>
  <c r="K28" i="7"/>
  <c r="P27" i="7"/>
  <c r="Q27" i="7" s="1"/>
  <c r="K27" i="7"/>
  <c r="P26" i="7"/>
  <c r="Q26" i="7" s="1"/>
  <c r="K26" i="7"/>
  <c r="P25" i="7"/>
  <c r="Q25" i="7" s="1"/>
  <c r="K25" i="7"/>
  <c r="Q24" i="7"/>
  <c r="P24" i="7"/>
  <c r="K24" i="7"/>
  <c r="P23" i="7"/>
  <c r="Q23" i="7" s="1"/>
  <c r="K23" i="7"/>
  <c r="P22" i="7"/>
  <c r="Q22" i="7" s="1"/>
  <c r="K22" i="7"/>
  <c r="P21" i="7"/>
  <c r="Q21" i="7" s="1"/>
  <c r="K21" i="7"/>
  <c r="Q20" i="7"/>
  <c r="P20" i="7"/>
  <c r="K20" i="7"/>
  <c r="P19" i="7"/>
  <c r="Q19" i="7" s="1"/>
  <c r="K19" i="7"/>
  <c r="P18" i="7"/>
  <c r="Q18" i="7" s="1"/>
  <c r="K18" i="7"/>
  <c r="P17" i="7"/>
  <c r="Q17" i="7" s="1"/>
  <c r="K17" i="7"/>
  <c r="Q16" i="7"/>
  <c r="P16" i="7"/>
  <c r="K16" i="7"/>
  <c r="P15" i="7"/>
  <c r="Q15" i="7" s="1"/>
  <c r="K15" i="7"/>
  <c r="P14" i="7"/>
  <c r="Q14" i="7" s="1"/>
  <c r="K14" i="7"/>
  <c r="P13" i="7"/>
  <c r="Q13" i="7" s="1"/>
  <c r="K13" i="7"/>
  <c r="Q12" i="7"/>
  <c r="P12" i="7"/>
  <c r="K12" i="7"/>
  <c r="P11" i="7"/>
  <c r="Q11" i="7" s="1"/>
  <c r="K11" i="7"/>
  <c r="P10" i="7"/>
  <c r="Q10" i="7" s="1"/>
  <c r="K10" i="7"/>
  <c r="P9" i="7"/>
  <c r="Q9" i="7" s="1"/>
  <c r="K9" i="7"/>
  <c r="Q8" i="7"/>
  <c r="P8" i="7"/>
  <c r="K8" i="7"/>
  <c r="P7" i="7"/>
  <c r="Q7" i="7" s="1"/>
  <c r="K7" i="7"/>
  <c r="A65" i="6"/>
  <c r="A64" i="6"/>
  <c r="A63" i="6"/>
  <c r="M58" i="6"/>
  <c r="N58" i="6" s="1"/>
  <c r="I58" i="6"/>
  <c r="F58" i="6"/>
  <c r="S58" i="8" s="1"/>
  <c r="G146" i="8" s="1"/>
  <c r="C58" i="6"/>
  <c r="I57" i="6"/>
  <c r="F57" i="6"/>
  <c r="S57" i="8" s="1"/>
  <c r="G145" i="8" s="1"/>
  <c r="C57" i="6"/>
  <c r="M57" i="6" s="1"/>
  <c r="N57" i="6" s="1"/>
  <c r="M56" i="6"/>
  <c r="N56" i="6" s="1"/>
  <c r="I56" i="6"/>
  <c r="F56" i="6"/>
  <c r="S56" i="8" s="1"/>
  <c r="G144" i="8" s="1"/>
  <c r="C56" i="6"/>
  <c r="I55" i="6"/>
  <c r="F55" i="6"/>
  <c r="S55" i="8" s="1"/>
  <c r="G143" i="8" s="1"/>
  <c r="C55" i="6"/>
  <c r="M55" i="6" s="1"/>
  <c r="N55" i="6" s="1"/>
  <c r="M54" i="6"/>
  <c r="N54" i="6" s="1"/>
  <c r="I54" i="6"/>
  <c r="F54" i="6"/>
  <c r="S54" i="8" s="1"/>
  <c r="G142" i="8" s="1"/>
  <c r="C54" i="6"/>
  <c r="I53" i="6"/>
  <c r="F53" i="6"/>
  <c r="S53" i="8" s="1"/>
  <c r="G141" i="8" s="1"/>
  <c r="C53" i="6"/>
  <c r="M53" i="6" s="1"/>
  <c r="N53" i="6" s="1"/>
  <c r="M52" i="6"/>
  <c r="N52" i="6" s="1"/>
  <c r="I52" i="6"/>
  <c r="F52" i="6"/>
  <c r="S52" i="8" s="1"/>
  <c r="G140" i="8" s="1"/>
  <c r="C52" i="6"/>
  <c r="N51" i="6"/>
  <c r="I51" i="6"/>
  <c r="F51" i="6"/>
  <c r="S51" i="8" s="1"/>
  <c r="C51" i="6"/>
  <c r="M51" i="6" s="1"/>
  <c r="M50" i="6"/>
  <c r="N50" i="6" s="1"/>
  <c r="I50" i="6"/>
  <c r="F50" i="6"/>
  <c r="S50" i="8" s="1"/>
  <c r="G138" i="8" s="1"/>
  <c r="C50" i="6"/>
  <c r="I49" i="6"/>
  <c r="F49" i="6"/>
  <c r="S49" i="8" s="1"/>
  <c r="G137" i="8" s="1"/>
  <c r="C49" i="6"/>
  <c r="M49" i="6" s="1"/>
  <c r="N49" i="6" s="1"/>
  <c r="M48" i="6"/>
  <c r="N48" i="6" s="1"/>
  <c r="I48" i="6"/>
  <c r="F48" i="6"/>
  <c r="S48" i="8" s="1"/>
  <c r="G136" i="8" s="1"/>
  <c r="C48" i="6"/>
  <c r="I47" i="6"/>
  <c r="F47" i="6"/>
  <c r="S47" i="8" s="1"/>
  <c r="G135" i="8" s="1"/>
  <c r="C47" i="6"/>
  <c r="M47" i="6" s="1"/>
  <c r="N47" i="6" s="1"/>
  <c r="M46" i="6"/>
  <c r="N46" i="6" s="1"/>
  <c r="I46" i="6"/>
  <c r="F46" i="6"/>
  <c r="S46" i="8" s="1"/>
  <c r="C46" i="6"/>
  <c r="I45" i="6"/>
  <c r="F45" i="6"/>
  <c r="S45" i="8" s="1"/>
  <c r="C45" i="6"/>
  <c r="M45" i="6" s="1"/>
  <c r="N45" i="6" s="1"/>
  <c r="M44" i="6"/>
  <c r="N44" i="6" s="1"/>
  <c r="I44" i="6"/>
  <c r="F44" i="6"/>
  <c r="S44" i="8" s="1"/>
  <c r="C44" i="6"/>
  <c r="N43" i="6"/>
  <c r="I43" i="6"/>
  <c r="F43" i="6"/>
  <c r="S43" i="8" s="1"/>
  <c r="C43" i="6"/>
  <c r="M43" i="6" s="1"/>
  <c r="M42" i="6"/>
  <c r="N42" i="6" s="1"/>
  <c r="I42" i="6"/>
  <c r="F42" i="6"/>
  <c r="S42" i="8" s="1"/>
  <c r="C42" i="6"/>
  <c r="I41" i="6"/>
  <c r="F41" i="6"/>
  <c r="S41" i="8" s="1"/>
  <c r="C41" i="6"/>
  <c r="M41" i="6" s="1"/>
  <c r="N41" i="6" s="1"/>
  <c r="M40" i="6"/>
  <c r="N40" i="6" s="1"/>
  <c r="I40" i="6"/>
  <c r="F40" i="6"/>
  <c r="S40" i="8" s="1"/>
  <c r="C40" i="6"/>
  <c r="I39" i="6"/>
  <c r="F39" i="6"/>
  <c r="S39" i="8" s="1"/>
  <c r="C39" i="6"/>
  <c r="M39" i="6" s="1"/>
  <c r="N39" i="6" s="1"/>
  <c r="M38" i="6"/>
  <c r="N38" i="6" s="1"/>
  <c r="I38" i="6"/>
  <c r="F38" i="6"/>
  <c r="S38" i="8" s="1"/>
  <c r="C38" i="6"/>
  <c r="I37" i="6"/>
  <c r="F37" i="6"/>
  <c r="S37" i="8" s="1"/>
  <c r="C37" i="6"/>
  <c r="M37" i="6" s="1"/>
  <c r="N37" i="6" s="1"/>
  <c r="M36" i="6"/>
  <c r="N36" i="6" s="1"/>
  <c r="I36" i="6"/>
  <c r="F36" i="6"/>
  <c r="S36" i="8" s="1"/>
  <c r="C36" i="6"/>
  <c r="N35" i="6"/>
  <c r="I35" i="6"/>
  <c r="F35" i="6"/>
  <c r="S35" i="8" s="1"/>
  <c r="C35" i="6"/>
  <c r="M35" i="6" s="1"/>
  <c r="M34" i="6"/>
  <c r="N34" i="6" s="1"/>
  <c r="I34" i="6"/>
  <c r="F34" i="6"/>
  <c r="S34" i="8" s="1"/>
  <c r="C34" i="6"/>
  <c r="I33" i="6"/>
  <c r="F33" i="6"/>
  <c r="C33" i="6"/>
  <c r="M33" i="6" s="1"/>
  <c r="N33" i="6" s="1"/>
  <c r="M32" i="6"/>
  <c r="N32" i="6" s="1"/>
  <c r="I32" i="6"/>
  <c r="F32" i="6"/>
  <c r="S32" i="8" s="1"/>
  <c r="C32" i="6"/>
  <c r="I31" i="6"/>
  <c r="F31" i="6"/>
  <c r="C31" i="6"/>
  <c r="M31" i="6" s="1"/>
  <c r="N31" i="6" s="1"/>
  <c r="M30" i="6"/>
  <c r="N30" i="6" s="1"/>
  <c r="I30" i="6"/>
  <c r="F30" i="6"/>
  <c r="S30" i="8" s="1"/>
  <c r="C30" i="6"/>
  <c r="I29" i="6"/>
  <c r="F29" i="6"/>
  <c r="C29" i="6"/>
  <c r="M29" i="6" s="1"/>
  <c r="N29" i="6" s="1"/>
  <c r="M28" i="6"/>
  <c r="N28" i="6" s="1"/>
  <c r="I28" i="6"/>
  <c r="F28" i="6"/>
  <c r="S28" i="8" s="1"/>
  <c r="C28" i="6"/>
  <c r="N27" i="6"/>
  <c r="I27" i="6"/>
  <c r="F27" i="6"/>
  <c r="C27" i="6"/>
  <c r="M27" i="6" s="1"/>
  <c r="M26" i="6"/>
  <c r="N26" i="6" s="1"/>
  <c r="I26" i="6"/>
  <c r="F26" i="6"/>
  <c r="S26" i="8" s="1"/>
  <c r="C26" i="6"/>
  <c r="I25" i="6"/>
  <c r="F25" i="6"/>
  <c r="C25" i="6"/>
  <c r="M25" i="6" s="1"/>
  <c r="N25" i="6" s="1"/>
  <c r="M24" i="6"/>
  <c r="N24" i="6" s="1"/>
  <c r="I24" i="6"/>
  <c r="F24" i="6"/>
  <c r="S24" i="8" s="1"/>
  <c r="C24" i="6"/>
  <c r="I23" i="6"/>
  <c r="F23" i="6"/>
  <c r="C23" i="6"/>
  <c r="M23" i="6" s="1"/>
  <c r="N23" i="6" s="1"/>
  <c r="M22" i="6"/>
  <c r="N22" i="6" s="1"/>
  <c r="I22" i="6"/>
  <c r="F22" i="6"/>
  <c r="S22" i="8" s="1"/>
  <c r="C22" i="6"/>
  <c r="I21" i="6"/>
  <c r="F21" i="6"/>
  <c r="C21" i="6"/>
  <c r="M21" i="6" s="1"/>
  <c r="N21" i="6" s="1"/>
  <c r="M20" i="6"/>
  <c r="N20" i="6" s="1"/>
  <c r="I20" i="6"/>
  <c r="F20" i="6"/>
  <c r="S20" i="8" s="1"/>
  <c r="C20" i="6"/>
  <c r="N19" i="6"/>
  <c r="I19" i="6"/>
  <c r="F19" i="6"/>
  <c r="C19" i="6"/>
  <c r="M19" i="6" s="1"/>
  <c r="M18" i="6"/>
  <c r="N18" i="6" s="1"/>
  <c r="I18" i="6"/>
  <c r="F18" i="6"/>
  <c r="S18" i="8" s="1"/>
  <c r="C18" i="6"/>
  <c r="I17" i="6"/>
  <c r="F17" i="6"/>
  <c r="C17" i="6"/>
  <c r="M17" i="6" s="1"/>
  <c r="N17" i="6" s="1"/>
  <c r="M16" i="6"/>
  <c r="N16" i="6" s="1"/>
  <c r="I16" i="6"/>
  <c r="F16" i="6"/>
  <c r="S16" i="8" s="1"/>
  <c r="C16" i="6"/>
  <c r="I15" i="6"/>
  <c r="F15" i="6"/>
  <c r="C15" i="6"/>
  <c r="M15" i="6" s="1"/>
  <c r="N15" i="6" s="1"/>
  <c r="M14" i="6"/>
  <c r="N14" i="6" s="1"/>
  <c r="I14" i="6"/>
  <c r="F14" i="6"/>
  <c r="S14" i="8" s="1"/>
  <c r="C14" i="6"/>
  <c r="I13" i="6"/>
  <c r="F13" i="6"/>
  <c r="C13" i="6"/>
  <c r="M13" i="6" s="1"/>
  <c r="N13" i="6" s="1"/>
  <c r="M12" i="6"/>
  <c r="N12" i="6" s="1"/>
  <c r="I12" i="6"/>
  <c r="F12" i="6"/>
  <c r="S12" i="8" s="1"/>
  <c r="C12" i="6"/>
  <c r="I11" i="6"/>
  <c r="F11" i="6"/>
  <c r="C11" i="6"/>
  <c r="I10" i="6"/>
  <c r="F10" i="6"/>
  <c r="S10" i="8" s="1"/>
  <c r="C10" i="6"/>
  <c r="I9" i="6"/>
  <c r="F9" i="6"/>
  <c r="C9" i="6"/>
  <c r="I8" i="6"/>
  <c r="F8" i="6"/>
  <c r="S8" i="8" s="1"/>
  <c r="C8" i="6"/>
  <c r="I7" i="6"/>
  <c r="F7" i="6"/>
  <c r="C7" i="6"/>
  <c r="A69" i="5"/>
  <c r="A68" i="5"/>
  <c r="A67" i="5"/>
  <c r="A66" i="5"/>
  <c r="A65" i="5"/>
  <c r="A64" i="5"/>
  <c r="A63" i="5"/>
  <c r="Q58" i="5"/>
  <c r="D58" i="5"/>
  <c r="Q57" i="5"/>
  <c r="I57" i="5"/>
  <c r="J57" i="5" s="1"/>
  <c r="G57" i="5" s="1"/>
  <c r="R57" i="8" s="1"/>
  <c r="F145" i="8" s="1"/>
  <c r="D57" i="5"/>
  <c r="Q56" i="5"/>
  <c r="I56" i="5"/>
  <c r="J56" i="5" s="1"/>
  <c r="G56" i="5" s="1"/>
  <c r="R56" i="8" s="1"/>
  <c r="D56" i="5"/>
  <c r="Q55" i="5"/>
  <c r="I55" i="5"/>
  <c r="J55" i="5" s="1"/>
  <c r="G55" i="5" s="1"/>
  <c r="R55" i="8" s="1"/>
  <c r="F143" i="8" s="1"/>
  <c r="D55" i="5"/>
  <c r="C55" i="5" s="1"/>
  <c r="U55" i="5" s="1"/>
  <c r="V55" i="5" s="1"/>
  <c r="Q54" i="5"/>
  <c r="I54" i="5"/>
  <c r="J54" i="5" s="1"/>
  <c r="G54" i="5" s="1"/>
  <c r="R54" i="8" s="1"/>
  <c r="D54" i="5"/>
  <c r="Q53" i="5"/>
  <c r="I53" i="5"/>
  <c r="J53" i="5" s="1"/>
  <c r="G53" i="5" s="1"/>
  <c r="R53" i="8" s="1"/>
  <c r="D53" i="5"/>
  <c r="Q52" i="5"/>
  <c r="I52" i="5"/>
  <c r="J52" i="5" s="1"/>
  <c r="G52" i="5" s="1"/>
  <c r="R52" i="8" s="1"/>
  <c r="F140" i="8" s="1"/>
  <c r="D52" i="5"/>
  <c r="Q51" i="5"/>
  <c r="I51" i="5"/>
  <c r="J51" i="5" s="1"/>
  <c r="G51" i="5" s="1"/>
  <c r="R51" i="8" s="1"/>
  <c r="F139" i="8" s="1"/>
  <c r="D51" i="5"/>
  <c r="C51" i="5" s="1"/>
  <c r="U51" i="5" s="1"/>
  <c r="V51" i="5" s="1"/>
  <c r="Q50" i="5"/>
  <c r="I50" i="5"/>
  <c r="J50" i="5" s="1"/>
  <c r="G50" i="5" s="1"/>
  <c r="R50" i="8" s="1"/>
  <c r="D50" i="5"/>
  <c r="Q49" i="5"/>
  <c r="I49" i="5"/>
  <c r="J49" i="5" s="1"/>
  <c r="G49" i="5" s="1"/>
  <c r="R49" i="8" s="1"/>
  <c r="D49" i="5"/>
  <c r="Q48" i="5"/>
  <c r="I48" i="5"/>
  <c r="J48" i="5" s="1"/>
  <c r="G48" i="5" s="1"/>
  <c r="R48" i="8" s="1"/>
  <c r="F136" i="8" s="1"/>
  <c r="D48" i="5"/>
  <c r="Q47" i="5"/>
  <c r="I47" i="5"/>
  <c r="J47" i="5" s="1"/>
  <c r="G47" i="5" s="1"/>
  <c r="R47" i="8" s="1"/>
  <c r="D47" i="5"/>
  <c r="C47" i="5" s="1"/>
  <c r="U47" i="5" s="1"/>
  <c r="V47" i="5" s="1"/>
  <c r="Q46" i="5"/>
  <c r="I46" i="5"/>
  <c r="J46" i="5" s="1"/>
  <c r="G46" i="5" s="1"/>
  <c r="R46" i="8" s="1"/>
  <c r="D46" i="8" s="1"/>
  <c r="L77" i="10" s="1"/>
  <c r="D46" i="5"/>
  <c r="Q45" i="5"/>
  <c r="I45" i="5"/>
  <c r="J45" i="5" s="1"/>
  <c r="G45" i="5" s="1"/>
  <c r="R45" i="8" s="1"/>
  <c r="D45" i="5"/>
  <c r="Q44" i="5"/>
  <c r="I44" i="5"/>
  <c r="J44" i="5" s="1"/>
  <c r="G44" i="5" s="1"/>
  <c r="R44" i="8" s="1"/>
  <c r="D44" i="5"/>
  <c r="Q43" i="5"/>
  <c r="I43" i="5"/>
  <c r="J43" i="5" s="1"/>
  <c r="G43" i="5" s="1"/>
  <c r="R43" i="8" s="1"/>
  <c r="D43" i="5"/>
  <c r="C43" i="5" s="1"/>
  <c r="U43" i="5" s="1"/>
  <c r="V43" i="5" s="1"/>
  <c r="Q42" i="5"/>
  <c r="I42" i="5"/>
  <c r="J42" i="5" s="1"/>
  <c r="G42" i="5" s="1"/>
  <c r="R42" i="8" s="1"/>
  <c r="D42" i="5"/>
  <c r="Q41" i="5"/>
  <c r="I41" i="5"/>
  <c r="J41" i="5" s="1"/>
  <c r="G41" i="5" s="1"/>
  <c r="R41" i="8" s="1"/>
  <c r="D41" i="8" s="1"/>
  <c r="L72" i="10" s="1"/>
  <c r="D41" i="5"/>
  <c r="Q40" i="5"/>
  <c r="I40" i="5"/>
  <c r="J40" i="5" s="1"/>
  <c r="G40" i="5" s="1"/>
  <c r="R40" i="8" s="1"/>
  <c r="D40" i="5"/>
  <c r="Q39" i="5"/>
  <c r="I39" i="5"/>
  <c r="J39" i="5" s="1"/>
  <c r="G39" i="5" s="1"/>
  <c r="R39" i="8" s="1"/>
  <c r="D39" i="8" s="1"/>
  <c r="L70" i="10" s="1"/>
  <c r="D39" i="5"/>
  <c r="C39" i="5" s="1"/>
  <c r="U39" i="5" s="1"/>
  <c r="V39" i="5" s="1"/>
  <c r="Q38" i="5"/>
  <c r="I38" i="5"/>
  <c r="J38" i="5" s="1"/>
  <c r="G38" i="5" s="1"/>
  <c r="R38" i="8" s="1"/>
  <c r="D38" i="5"/>
  <c r="C38" i="5" s="1"/>
  <c r="U38" i="5" s="1"/>
  <c r="V38" i="5" s="1"/>
  <c r="Q37" i="5"/>
  <c r="I37" i="5"/>
  <c r="J37" i="5" s="1"/>
  <c r="G37" i="5" s="1"/>
  <c r="R37" i="8" s="1"/>
  <c r="D37" i="8" s="1"/>
  <c r="L68" i="10" s="1"/>
  <c r="D37" i="5"/>
  <c r="Q36" i="5"/>
  <c r="I36" i="5"/>
  <c r="J36" i="5" s="1"/>
  <c r="G36" i="5" s="1"/>
  <c r="R36" i="8" s="1"/>
  <c r="D36" i="5"/>
  <c r="Q35" i="5"/>
  <c r="I35" i="5"/>
  <c r="J35" i="5" s="1"/>
  <c r="G35" i="5" s="1"/>
  <c r="R35" i="8" s="1"/>
  <c r="D35" i="5"/>
  <c r="C35" i="5" s="1"/>
  <c r="U35" i="5" s="1"/>
  <c r="V35" i="5" s="1"/>
  <c r="Q34" i="5"/>
  <c r="I34" i="5"/>
  <c r="J34" i="5" s="1"/>
  <c r="G34" i="5" s="1"/>
  <c r="R34" i="8" s="1"/>
  <c r="D34" i="5"/>
  <c r="C34" i="5" s="1"/>
  <c r="U34" i="5" s="1"/>
  <c r="V34" i="5" s="1"/>
  <c r="Q33" i="5"/>
  <c r="I33" i="5"/>
  <c r="J33" i="5" s="1"/>
  <c r="G33" i="5" s="1"/>
  <c r="R33" i="8" s="1"/>
  <c r="D33" i="5"/>
  <c r="Q32" i="5"/>
  <c r="I32" i="5"/>
  <c r="J32" i="5" s="1"/>
  <c r="G32" i="5" s="1"/>
  <c r="R32" i="8" s="1"/>
  <c r="D32" i="5"/>
  <c r="Q31" i="5"/>
  <c r="I31" i="5"/>
  <c r="J31" i="5" s="1"/>
  <c r="G31" i="5" s="1"/>
  <c r="R31" i="8" s="1"/>
  <c r="D31" i="5"/>
  <c r="C31" i="5" s="1"/>
  <c r="U31" i="5" s="1"/>
  <c r="V31" i="5" s="1"/>
  <c r="Q30" i="5"/>
  <c r="I30" i="5"/>
  <c r="J30" i="5" s="1"/>
  <c r="G30" i="5" s="1"/>
  <c r="R30" i="8" s="1"/>
  <c r="D30" i="5"/>
  <c r="C30" i="5" s="1"/>
  <c r="U30" i="5" s="1"/>
  <c r="V30" i="5" s="1"/>
  <c r="Q29" i="5"/>
  <c r="I29" i="5"/>
  <c r="J29" i="5" s="1"/>
  <c r="G29" i="5" s="1"/>
  <c r="R29" i="8" s="1"/>
  <c r="D29" i="5"/>
  <c r="Q28" i="5"/>
  <c r="I28" i="5"/>
  <c r="J28" i="5" s="1"/>
  <c r="G28" i="5" s="1"/>
  <c r="R28" i="8" s="1"/>
  <c r="D28" i="5"/>
  <c r="Q27" i="5"/>
  <c r="I27" i="5"/>
  <c r="J27" i="5" s="1"/>
  <c r="G27" i="5" s="1"/>
  <c r="R27" i="8" s="1"/>
  <c r="D27" i="5"/>
  <c r="C27" i="5" s="1"/>
  <c r="U27" i="5" s="1"/>
  <c r="V27" i="5" s="1"/>
  <c r="Q26" i="5"/>
  <c r="I26" i="5"/>
  <c r="J26" i="5" s="1"/>
  <c r="G26" i="5" s="1"/>
  <c r="R26" i="8" s="1"/>
  <c r="D26" i="5"/>
  <c r="C26" i="5" s="1"/>
  <c r="U26" i="5" s="1"/>
  <c r="V26" i="5" s="1"/>
  <c r="Q25" i="5"/>
  <c r="I25" i="5"/>
  <c r="J25" i="5" s="1"/>
  <c r="G25" i="5" s="1"/>
  <c r="R25" i="8" s="1"/>
  <c r="D25" i="5"/>
  <c r="Q24" i="5"/>
  <c r="I24" i="5"/>
  <c r="J24" i="5" s="1"/>
  <c r="G24" i="5" s="1"/>
  <c r="R24" i="8" s="1"/>
  <c r="D24" i="5"/>
  <c r="Q23" i="5"/>
  <c r="I23" i="5"/>
  <c r="J23" i="5" s="1"/>
  <c r="G23" i="5" s="1"/>
  <c r="R23" i="8" s="1"/>
  <c r="D23" i="5"/>
  <c r="C23" i="5" s="1"/>
  <c r="U23" i="5" s="1"/>
  <c r="V23" i="5" s="1"/>
  <c r="Q22" i="5"/>
  <c r="I22" i="5"/>
  <c r="J22" i="5" s="1"/>
  <c r="G22" i="5" s="1"/>
  <c r="R22" i="8" s="1"/>
  <c r="D22" i="5"/>
  <c r="C22" i="5" s="1"/>
  <c r="U22" i="5" s="1"/>
  <c r="V22" i="5" s="1"/>
  <c r="Q21" i="5"/>
  <c r="I21" i="5"/>
  <c r="J21" i="5" s="1"/>
  <c r="G21" i="5" s="1"/>
  <c r="R21" i="8" s="1"/>
  <c r="D21" i="5"/>
  <c r="Q20" i="5"/>
  <c r="I20" i="5"/>
  <c r="J20" i="5" s="1"/>
  <c r="G20" i="5" s="1"/>
  <c r="R20" i="8" s="1"/>
  <c r="D20" i="5"/>
  <c r="Q19" i="5"/>
  <c r="I19" i="5"/>
  <c r="J19" i="5" s="1"/>
  <c r="G19" i="5" s="1"/>
  <c r="R19" i="8" s="1"/>
  <c r="D19" i="5"/>
  <c r="C19" i="5" s="1"/>
  <c r="U19" i="5" s="1"/>
  <c r="V19" i="5" s="1"/>
  <c r="Q18" i="5"/>
  <c r="I18" i="5"/>
  <c r="J18" i="5" s="1"/>
  <c r="G18" i="5" s="1"/>
  <c r="R18" i="8" s="1"/>
  <c r="D18" i="5"/>
  <c r="C18" i="5" s="1"/>
  <c r="U18" i="5" s="1"/>
  <c r="V18" i="5" s="1"/>
  <c r="Q17" i="5"/>
  <c r="I17" i="5"/>
  <c r="J17" i="5" s="1"/>
  <c r="G17" i="5" s="1"/>
  <c r="R17" i="8" s="1"/>
  <c r="D17" i="5"/>
  <c r="Q16" i="5"/>
  <c r="I16" i="5"/>
  <c r="J16" i="5" s="1"/>
  <c r="G16" i="5" s="1"/>
  <c r="R16" i="8" s="1"/>
  <c r="D16" i="5"/>
  <c r="Q15" i="5"/>
  <c r="I15" i="5"/>
  <c r="J15" i="5" s="1"/>
  <c r="G15" i="5" s="1"/>
  <c r="R15" i="8" s="1"/>
  <c r="D15" i="5"/>
  <c r="C15" i="5" s="1"/>
  <c r="U15" i="5" s="1"/>
  <c r="V15" i="5" s="1"/>
  <c r="Q14" i="5"/>
  <c r="I14" i="5"/>
  <c r="J14" i="5" s="1"/>
  <c r="G14" i="5" s="1"/>
  <c r="R14" i="8" s="1"/>
  <c r="D14" i="5"/>
  <c r="C14" i="5" s="1"/>
  <c r="U14" i="5" s="1"/>
  <c r="V14" i="5" s="1"/>
  <c r="Q13" i="5"/>
  <c r="I13" i="5"/>
  <c r="J13" i="5" s="1"/>
  <c r="G13" i="5" s="1"/>
  <c r="R13" i="8" s="1"/>
  <c r="D13" i="5"/>
  <c r="Q12" i="5"/>
  <c r="I12" i="5"/>
  <c r="J12" i="5" s="1"/>
  <c r="G12" i="5" s="1"/>
  <c r="R12" i="8" s="1"/>
  <c r="D12" i="5"/>
  <c r="Q11" i="5"/>
  <c r="I11" i="5"/>
  <c r="J11" i="5" s="1"/>
  <c r="G11" i="5" s="1"/>
  <c r="R11" i="8" s="1"/>
  <c r="D11" i="5"/>
  <c r="C11" i="5" s="1"/>
  <c r="Q10" i="5"/>
  <c r="I10" i="5"/>
  <c r="J10" i="5" s="1"/>
  <c r="G10" i="5" s="1"/>
  <c r="R10" i="8" s="1"/>
  <c r="D10" i="5"/>
  <c r="C10" i="5" s="1"/>
  <c r="Q9" i="5"/>
  <c r="I9" i="5"/>
  <c r="J9" i="5" s="1"/>
  <c r="G9" i="5" s="1"/>
  <c r="R9" i="8" s="1"/>
  <c r="D9" i="5"/>
  <c r="C9" i="5" s="1"/>
  <c r="Q8" i="5"/>
  <c r="I8" i="5"/>
  <c r="J8" i="5" s="1"/>
  <c r="G8" i="5" s="1"/>
  <c r="R8" i="8" s="1"/>
  <c r="D8" i="5"/>
  <c r="Q7" i="5"/>
  <c r="I7" i="5"/>
  <c r="J7" i="5" s="1"/>
  <c r="G7" i="5" s="1"/>
  <c r="R7" i="8" s="1"/>
  <c r="D7" i="5"/>
  <c r="C7" i="5" s="1"/>
  <c r="H235" i="10" s="1"/>
  <c r="I235" i="10" s="1"/>
  <c r="A69" i="4"/>
  <c r="A68" i="4"/>
  <c r="A67" i="4"/>
  <c r="A66" i="4"/>
  <c r="A65" i="4"/>
  <c r="A64" i="4"/>
  <c r="A63" i="4"/>
  <c r="T58" i="4"/>
  <c r="N58" i="4"/>
  <c r="M58" i="4"/>
  <c r="I58" i="5" s="1"/>
  <c r="J58" i="5" s="1"/>
  <c r="G58" i="5" s="1"/>
  <c r="R58" i="8" s="1"/>
  <c r="J58" i="4"/>
  <c r="D58" i="4"/>
  <c r="T57" i="4"/>
  <c r="N57" i="4"/>
  <c r="J57" i="4" s="1"/>
  <c r="Q57" i="8" s="1"/>
  <c r="E145" i="8" s="1"/>
  <c r="D57" i="4"/>
  <c r="T56" i="4"/>
  <c r="N56" i="4"/>
  <c r="J56" i="4"/>
  <c r="Q56" i="8" s="1"/>
  <c r="E144" i="8" s="1"/>
  <c r="D56" i="4"/>
  <c r="C56" i="4"/>
  <c r="X56" i="4" s="1"/>
  <c r="Y56" i="4" s="1"/>
  <c r="T55" i="4"/>
  <c r="N55" i="4"/>
  <c r="J55" i="4" s="1"/>
  <c r="Q55" i="8" s="1"/>
  <c r="E143" i="8" s="1"/>
  <c r="D55" i="4"/>
  <c r="T54" i="4"/>
  <c r="N54" i="4"/>
  <c r="J54" i="4"/>
  <c r="D54" i="4"/>
  <c r="X53" i="4"/>
  <c r="Y53" i="4" s="1"/>
  <c r="T53" i="4"/>
  <c r="N53" i="4"/>
  <c r="J53" i="4" s="1"/>
  <c r="D53" i="4"/>
  <c r="C53" i="4" s="1"/>
  <c r="T52" i="4"/>
  <c r="N52" i="4"/>
  <c r="J52" i="4"/>
  <c r="Q52" i="8" s="1"/>
  <c r="E140" i="8" s="1"/>
  <c r="D52" i="4"/>
  <c r="C52" i="4"/>
  <c r="X52" i="4" s="1"/>
  <c r="Y52" i="4" s="1"/>
  <c r="T51" i="4"/>
  <c r="N51" i="4"/>
  <c r="J51" i="4" s="1"/>
  <c r="Q51" i="8" s="1"/>
  <c r="E139" i="8" s="1"/>
  <c r="D51" i="4"/>
  <c r="C51" i="4" s="1"/>
  <c r="X51" i="4" s="1"/>
  <c r="Y51" i="4" s="1"/>
  <c r="T50" i="4"/>
  <c r="N50" i="4"/>
  <c r="J50" i="4"/>
  <c r="D50" i="4"/>
  <c r="X49" i="4"/>
  <c r="Y49" i="4" s="1"/>
  <c r="T49" i="4"/>
  <c r="N49" i="4"/>
  <c r="J49" i="4" s="1"/>
  <c r="Q49" i="8" s="1"/>
  <c r="E137" i="8" s="1"/>
  <c r="D49" i="4"/>
  <c r="C49" i="4" s="1"/>
  <c r="T48" i="4"/>
  <c r="N48" i="4"/>
  <c r="J48" i="4"/>
  <c r="Q48" i="8" s="1"/>
  <c r="E136" i="8" s="1"/>
  <c r="D48" i="4"/>
  <c r="C48" i="4"/>
  <c r="X48" i="4" s="1"/>
  <c r="Y48" i="4" s="1"/>
  <c r="T47" i="4"/>
  <c r="N47" i="4"/>
  <c r="J47" i="4" s="1"/>
  <c r="Q47" i="8" s="1"/>
  <c r="E135" i="8" s="1"/>
  <c r="D47" i="4"/>
  <c r="C47" i="4" s="1"/>
  <c r="X47" i="4" s="1"/>
  <c r="Y47" i="4" s="1"/>
  <c r="T46" i="4"/>
  <c r="N46" i="4"/>
  <c r="J46" i="4"/>
  <c r="D46" i="4"/>
  <c r="T45" i="4"/>
  <c r="N45" i="4"/>
  <c r="J45" i="4" s="1"/>
  <c r="Q45" i="8" s="1"/>
  <c r="D45" i="4"/>
  <c r="C45" i="4" s="1"/>
  <c r="X45" i="4" s="1"/>
  <c r="Y45" i="4" s="1"/>
  <c r="T44" i="4"/>
  <c r="N44" i="4"/>
  <c r="J44" i="4"/>
  <c r="Q44" i="8" s="1"/>
  <c r="D44" i="4"/>
  <c r="C44" i="4"/>
  <c r="X44" i="4" s="1"/>
  <c r="Y44" i="4" s="1"/>
  <c r="T43" i="4"/>
  <c r="N43" i="4"/>
  <c r="J43" i="4" s="1"/>
  <c r="Q43" i="8" s="1"/>
  <c r="D43" i="4"/>
  <c r="C43" i="4" s="1"/>
  <c r="X43" i="4" s="1"/>
  <c r="Y43" i="4" s="1"/>
  <c r="T42" i="4"/>
  <c r="N42" i="4"/>
  <c r="J42" i="4"/>
  <c r="D42" i="4"/>
  <c r="T41" i="4"/>
  <c r="N41" i="4"/>
  <c r="J41" i="4" s="1"/>
  <c r="Q41" i="8" s="1"/>
  <c r="D41" i="4"/>
  <c r="T40" i="4"/>
  <c r="N40" i="4"/>
  <c r="J40" i="4"/>
  <c r="Q40" i="8" s="1"/>
  <c r="D40" i="4"/>
  <c r="C40" i="4"/>
  <c r="X40" i="4" s="1"/>
  <c r="Y40" i="4" s="1"/>
  <c r="T39" i="4"/>
  <c r="N39" i="4"/>
  <c r="J39" i="4" s="1"/>
  <c r="Q39" i="8" s="1"/>
  <c r="D39" i="4"/>
  <c r="T38" i="4"/>
  <c r="N38" i="4"/>
  <c r="J38" i="4"/>
  <c r="D38" i="4"/>
  <c r="X37" i="4"/>
  <c r="Y37" i="4" s="1"/>
  <c r="T37" i="4"/>
  <c r="N37" i="4"/>
  <c r="J37" i="4" s="1"/>
  <c r="Q37" i="8" s="1"/>
  <c r="D37" i="4"/>
  <c r="C37" i="4" s="1"/>
  <c r="T36" i="4"/>
  <c r="N36" i="4"/>
  <c r="J36" i="4"/>
  <c r="Q36" i="8" s="1"/>
  <c r="D36" i="4"/>
  <c r="C36" i="4"/>
  <c r="X36" i="4" s="1"/>
  <c r="Y36" i="4" s="1"/>
  <c r="T35" i="4"/>
  <c r="N35" i="4"/>
  <c r="J35" i="4" s="1"/>
  <c r="Q35" i="8" s="1"/>
  <c r="D35" i="4"/>
  <c r="C35" i="4" s="1"/>
  <c r="X35" i="4" s="1"/>
  <c r="Y35" i="4" s="1"/>
  <c r="Y34" i="4"/>
  <c r="T34" i="4"/>
  <c r="N34" i="4"/>
  <c r="J34" i="4"/>
  <c r="C34" i="4" s="1"/>
  <c r="X34" i="4" s="1"/>
  <c r="D34" i="4"/>
  <c r="X33" i="4"/>
  <c r="Y33" i="4" s="1"/>
  <c r="T33" i="4"/>
  <c r="N33" i="4"/>
  <c r="J33" i="4" s="1"/>
  <c r="Q33" i="8" s="1"/>
  <c r="C33" i="8" s="1"/>
  <c r="D33" i="4"/>
  <c r="C33" i="4" s="1"/>
  <c r="T32" i="4"/>
  <c r="C32" i="4" s="1"/>
  <c r="X32" i="4" s="1"/>
  <c r="Y32" i="4" s="1"/>
  <c r="N32" i="4"/>
  <c r="J32" i="4"/>
  <c r="D32" i="4"/>
  <c r="T31" i="4"/>
  <c r="N31" i="4"/>
  <c r="J31" i="4" s="1"/>
  <c r="Q31" i="8" s="1"/>
  <c r="D31" i="4"/>
  <c r="C31" i="4" s="1"/>
  <c r="X31" i="4" s="1"/>
  <c r="Y31" i="4" s="1"/>
  <c r="Y30" i="4"/>
  <c r="T30" i="4"/>
  <c r="N30" i="4"/>
  <c r="J30" i="4"/>
  <c r="C30" i="4" s="1"/>
  <c r="X30" i="4" s="1"/>
  <c r="D30" i="4"/>
  <c r="T29" i="4"/>
  <c r="N29" i="4"/>
  <c r="J29" i="4" s="1"/>
  <c r="Q29" i="8" s="1"/>
  <c r="D29" i="4"/>
  <c r="C29" i="4" s="1"/>
  <c r="X29" i="4" s="1"/>
  <c r="Y29" i="4" s="1"/>
  <c r="T28" i="4"/>
  <c r="N28" i="4"/>
  <c r="J28" i="4"/>
  <c r="D28" i="4"/>
  <c r="C28" i="4"/>
  <c r="X28" i="4" s="1"/>
  <c r="Y28" i="4" s="1"/>
  <c r="T27" i="4"/>
  <c r="N27" i="4"/>
  <c r="J27" i="4" s="1"/>
  <c r="Q27" i="8" s="1"/>
  <c r="D27" i="4"/>
  <c r="C27" i="4" s="1"/>
  <c r="X27" i="4" s="1"/>
  <c r="Y27" i="4" s="1"/>
  <c r="T26" i="4"/>
  <c r="N26" i="4"/>
  <c r="J26" i="4"/>
  <c r="C26" i="4" s="1"/>
  <c r="X26" i="4" s="1"/>
  <c r="Y26" i="4" s="1"/>
  <c r="D26" i="4"/>
  <c r="T25" i="4"/>
  <c r="N25" i="4"/>
  <c r="J25" i="4" s="1"/>
  <c r="Q25" i="8" s="1"/>
  <c r="C25" i="8" s="1"/>
  <c r="D25" i="4"/>
  <c r="T24" i="4"/>
  <c r="N24" i="4"/>
  <c r="J24" i="4"/>
  <c r="D24" i="4"/>
  <c r="C24" i="4"/>
  <c r="X24" i="4" s="1"/>
  <c r="Y24" i="4" s="1"/>
  <c r="T23" i="4"/>
  <c r="N23" i="4"/>
  <c r="J23" i="4" s="1"/>
  <c r="Q23" i="8" s="1"/>
  <c r="D23" i="4"/>
  <c r="Y22" i="4"/>
  <c r="T22" i="4"/>
  <c r="N22" i="4"/>
  <c r="J22" i="4"/>
  <c r="C22" i="4" s="1"/>
  <c r="X22" i="4" s="1"/>
  <c r="D22" i="4"/>
  <c r="X21" i="4"/>
  <c r="Y21" i="4" s="1"/>
  <c r="T21" i="4"/>
  <c r="N21" i="4"/>
  <c r="J21" i="4" s="1"/>
  <c r="Q21" i="8" s="1"/>
  <c r="D21" i="4"/>
  <c r="C21" i="4" s="1"/>
  <c r="T20" i="4"/>
  <c r="N20" i="4"/>
  <c r="J20" i="4"/>
  <c r="D20" i="4"/>
  <c r="C20" i="4"/>
  <c r="X20" i="4" s="1"/>
  <c r="Y20" i="4" s="1"/>
  <c r="T19" i="4"/>
  <c r="N19" i="4"/>
  <c r="J19" i="4" s="1"/>
  <c r="Q19" i="8" s="1"/>
  <c r="D19" i="4"/>
  <c r="C19" i="4" s="1"/>
  <c r="X19" i="4" s="1"/>
  <c r="Y19" i="4" s="1"/>
  <c r="Y18" i="4"/>
  <c r="T18" i="4"/>
  <c r="N18" i="4"/>
  <c r="J18" i="4"/>
  <c r="C18" i="4" s="1"/>
  <c r="X18" i="4" s="1"/>
  <c r="D18" i="4"/>
  <c r="X17" i="4"/>
  <c r="Y17" i="4" s="1"/>
  <c r="T17" i="4"/>
  <c r="N17" i="4"/>
  <c r="J17" i="4" s="1"/>
  <c r="Q17" i="8" s="1"/>
  <c r="C17" i="8" s="1"/>
  <c r="D17" i="4"/>
  <c r="C17" i="4" s="1"/>
  <c r="T16" i="4"/>
  <c r="N16" i="4"/>
  <c r="J16" i="4"/>
  <c r="D16" i="4"/>
  <c r="C16" i="4"/>
  <c r="X16" i="4" s="1"/>
  <c r="Y16" i="4" s="1"/>
  <c r="T15" i="4"/>
  <c r="N15" i="4"/>
  <c r="J15" i="4" s="1"/>
  <c r="Q15" i="8" s="1"/>
  <c r="D15" i="4"/>
  <c r="C15" i="4" s="1"/>
  <c r="X15" i="4" s="1"/>
  <c r="Y15" i="4" s="1"/>
  <c r="Y14" i="4"/>
  <c r="T14" i="4"/>
  <c r="N14" i="4"/>
  <c r="J14" i="4"/>
  <c r="C14" i="4" s="1"/>
  <c r="X14" i="4" s="1"/>
  <c r="D14" i="4"/>
  <c r="T13" i="4"/>
  <c r="N13" i="4"/>
  <c r="J13" i="4" s="1"/>
  <c r="Q13" i="8" s="1"/>
  <c r="D13" i="4"/>
  <c r="C13" i="4" s="1"/>
  <c r="X13" i="4" s="1"/>
  <c r="Y13" i="4" s="1"/>
  <c r="T12" i="4"/>
  <c r="N12" i="4"/>
  <c r="J12" i="4"/>
  <c r="D12" i="4"/>
  <c r="C12" i="4"/>
  <c r="T11" i="4"/>
  <c r="N11" i="4"/>
  <c r="J11" i="4" s="1"/>
  <c r="Q11" i="8" s="1"/>
  <c r="D11" i="4"/>
  <c r="C11" i="4" s="1"/>
  <c r="X11" i="4" s="1"/>
  <c r="Y11" i="4" s="1"/>
  <c r="T10" i="4"/>
  <c r="N10" i="4"/>
  <c r="J10" i="4"/>
  <c r="C10" i="4" s="1"/>
  <c r="X10" i="4" s="1"/>
  <c r="Y10" i="4" s="1"/>
  <c r="D10" i="4"/>
  <c r="T9" i="4"/>
  <c r="N9" i="4"/>
  <c r="J9" i="4" s="1"/>
  <c r="Q9" i="8" s="1"/>
  <c r="C9" i="8" s="1"/>
  <c r="D9" i="4"/>
  <c r="T8" i="4"/>
  <c r="N8" i="4"/>
  <c r="J8" i="4"/>
  <c r="D8" i="4"/>
  <c r="C8" i="4"/>
  <c r="X8" i="4" s="1"/>
  <c r="Y8" i="4" s="1"/>
  <c r="T7" i="4"/>
  <c r="N7" i="4"/>
  <c r="J7" i="4" s="1"/>
  <c r="Q7" i="8" s="1"/>
  <c r="D7" i="4"/>
  <c r="A65" i="3"/>
  <c r="A64" i="3"/>
  <c r="A63" i="3"/>
  <c r="B279" i="2"/>
  <c r="B278" i="2"/>
  <c r="B277" i="2"/>
  <c r="B276" i="2"/>
  <c r="D266" i="2"/>
  <c r="E266" i="2" s="1"/>
  <c r="D265" i="2"/>
  <c r="E265" i="2" s="1"/>
  <c r="D264" i="2"/>
  <c r="E264" i="2" s="1"/>
  <c r="D263" i="2"/>
  <c r="E263" i="2" s="1"/>
  <c r="D262" i="2"/>
  <c r="E262" i="2" s="1"/>
  <c r="D260" i="2"/>
  <c r="E260" i="2" s="1"/>
  <c r="B255" i="2"/>
  <c r="B254" i="2"/>
  <c r="B253" i="2"/>
  <c r="D245" i="2"/>
  <c r="D243" i="2"/>
  <c r="D242" i="2"/>
  <c r="I80" i="2" s="1"/>
  <c r="O80" i="2" s="1"/>
  <c r="D241" i="2"/>
  <c r="D239" i="2"/>
  <c r="D238" i="2"/>
  <c r="D237" i="2"/>
  <c r="I75" i="2" s="1"/>
  <c r="O75" i="2" s="1"/>
  <c r="D236" i="2"/>
  <c r="E235" i="2"/>
  <c r="D235" i="2"/>
  <c r="E234" i="2"/>
  <c r="D234" i="2"/>
  <c r="D233" i="2"/>
  <c r="D232" i="2"/>
  <c r="D231" i="2"/>
  <c r="E229" i="2"/>
  <c r="D229" i="2"/>
  <c r="D228" i="2"/>
  <c r="I66" i="2" s="1"/>
  <c r="O66" i="2" s="1"/>
  <c r="D227" i="2"/>
  <c r="D226" i="2"/>
  <c r="D225" i="2"/>
  <c r="D224" i="2"/>
  <c r="I62" i="2" s="1"/>
  <c r="D223" i="2"/>
  <c r="D222" i="2"/>
  <c r="D221" i="2"/>
  <c r="E219" i="2"/>
  <c r="D219" i="2"/>
  <c r="E218" i="2"/>
  <c r="J56" i="2" s="1"/>
  <c r="D218" i="2"/>
  <c r="E217" i="2"/>
  <c r="J55" i="2" s="1"/>
  <c r="P56" i="2" s="1"/>
  <c r="D217" i="2"/>
  <c r="D216" i="2" s="1"/>
  <c r="D215" i="2" s="1"/>
  <c r="E216" i="2"/>
  <c r="B209" i="2"/>
  <c r="B208" i="2"/>
  <c r="F203" i="2"/>
  <c r="F199" i="2"/>
  <c r="F198" i="2"/>
  <c r="B194" i="2"/>
  <c r="B193" i="2"/>
  <c r="B192" i="2"/>
  <c r="B191" i="2"/>
  <c r="B190" i="2"/>
  <c r="F186" i="2"/>
  <c r="F185" i="2"/>
  <c r="F184" i="2"/>
  <c r="F183" i="2"/>
  <c r="F182" i="2"/>
  <c r="F181" i="2"/>
  <c r="F180" i="2"/>
  <c r="F179" i="2"/>
  <c r="G178" i="2"/>
  <c r="F178" i="2"/>
  <c r="F177" i="2"/>
  <c r="E177" i="2"/>
  <c r="G177" i="2" s="1"/>
  <c r="E176" i="2"/>
  <c r="G176" i="2" s="1"/>
  <c r="B172" i="2"/>
  <c r="B171" i="2"/>
  <c r="E168" i="2"/>
  <c r="D168" i="2"/>
  <c r="C168" i="2"/>
  <c r="E167" i="2"/>
  <c r="D167" i="2"/>
  <c r="C167" i="2"/>
  <c r="F168" i="2" s="1"/>
  <c r="E166" i="2"/>
  <c r="D166" i="2"/>
  <c r="F166" i="2" s="1"/>
  <c r="C166" i="2"/>
  <c r="E165" i="2"/>
  <c r="G165" i="2" s="1"/>
  <c r="D165" i="2"/>
  <c r="C165" i="2"/>
  <c r="E164" i="2"/>
  <c r="D164" i="2"/>
  <c r="F165" i="2" s="1"/>
  <c r="C164" i="2"/>
  <c r="E163" i="2"/>
  <c r="G164" i="2" s="1"/>
  <c r="D163" i="2"/>
  <c r="C163" i="2"/>
  <c r="F164" i="2" s="1"/>
  <c r="E162" i="2"/>
  <c r="D162" i="2"/>
  <c r="F162" i="2" s="1"/>
  <c r="C162" i="2"/>
  <c r="E161" i="2"/>
  <c r="G161" i="2" s="1"/>
  <c r="D161" i="2"/>
  <c r="C161" i="2"/>
  <c r="F160" i="2"/>
  <c r="E160" i="2"/>
  <c r="D160" i="2"/>
  <c r="F161" i="2" s="1"/>
  <c r="C160" i="2"/>
  <c r="E159" i="2"/>
  <c r="G160" i="2" s="1"/>
  <c r="D159" i="2"/>
  <c r="C159" i="2"/>
  <c r="B155" i="2"/>
  <c r="B154" i="2"/>
  <c r="F151" i="2"/>
  <c r="E151" i="2"/>
  <c r="D151" i="2"/>
  <c r="C151" i="2"/>
  <c r="G150" i="2"/>
  <c r="E150" i="2"/>
  <c r="G151" i="2" s="1"/>
  <c r="D150" i="2"/>
  <c r="F150" i="2" s="1"/>
  <c r="C150" i="2"/>
  <c r="E149" i="2"/>
  <c r="G149" i="2" s="1"/>
  <c r="D149" i="2"/>
  <c r="F149" i="2" s="1"/>
  <c r="C149" i="2"/>
  <c r="E148" i="2"/>
  <c r="G148" i="2" s="1"/>
  <c r="D148" i="2"/>
  <c r="C148" i="2"/>
  <c r="F147" i="2"/>
  <c r="E147" i="2"/>
  <c r="D147" i="2"/>
  <c r="F148" i="2" s="1"/>
  <c r="C147" i="2"/>
  <c r="G146" i="2"/>
  <c r="E146" i="2"/>
  <c r="D146" i="2"/>
  <c r="F146" i="2" s="1"/>
  <c r="C146" i="2"/>
  <c r="E145" i="2"/>
  <c r="G145" i="2" s="1"/>
  <c r="D145" i="2"/>
  <c r="F145" i="2" s="1"/>
  <c r="C145" i="2"/>
  <c r="E144" i="2"/>
  <c r="G144" i="2" s="1"/>
  <c r="D144" i="2"/>
  <c r="C144" i="2"/>
  <c r="F143" i="2"/>
  <c r="E143" i="2"/>
  <c r="D143" i="2"/>
  <c r="F144" i="2" s="1"/>
  <c r="C143" i="2"/>
  <c r="E142" i="2"/>
  <c r="G143" i="2" s="1"/>
  <c r="D142" i="2"/>
  <c r="C142" i="2"/>
  <c r="B138" i="2"/>
  <c r="B137" i="2"/>
  <c r="B136" i="2"/>
  <c r="B135" i="2"/>
  <c r="B134" i="2"/>
  <c r="B133" i="2"/>
  <c r="G129" i="2"/>
  <c r="G128" i="2"/>
  <c r="G127" i="2"/>
  <c r="G126" i="2"/>
  <c r="G125" i="2"/>
  <c r="G124" i="2"/>
  <c r="G123" i="2"/>
  <c r="G122" i="2"/>
  <c r="H121" i="2"/>
  <c r="H122" i="2" s="1"/>
  <c r="G121" i="2"/>
  <c r="H120" i="2"/>
  <c r="G120" i="2"/>
  <c r="H119" i="2"/>
  <c r="A114" i="2"/>
  <c r="A113" i="2"/>
  <c r="A112" i="2"/>
  <c r="A111" i="2"/>
  <c r="A110" i="2"/>
  <c r="A109" i="2"/>
  <c r="A108" i="2"/>
  <c r="A107" i="2"/>
  <c r="A106" i="2"/>
  <c r="A105" i="2"/>
  <c r="A104" i="2"/>
  <c r="C91" i="2"/>
  <c r="N90" i="2"/>
  <c r="M90" i="2"/>
  <c r="L90" i="2"/>
  <c r="K90" i="2"/>
  <c r="R89" i="2"/>
  <c r="P89" i="2"/>
  <c r="N89" i="2"/>
  <c r="M89" i="2"/>
  <c r="Q89" i="2" s="1"/>
  <c r="L89" i="2"/>
  <c r="K89" i="2"/>
  <c r="J89" i="2"/>
  <c r="R88" i="2"/>
  <c r="P88" i="2"/>
  <c r="N88" i="2"/>
  <c r="M88" i="2"/>
  <c r="Q88" i="2" s="1"/>
  <c r="L88" i="2"/>
  <c r="K88" i="2"/>
  <c r="J88" i="2"/>
  <c r="R87" i="2"/>
  <c r="P87" i="2"/>
  <c r="N87" i="2"/>
  <c r="M87" i="2"/>
  <c r="Q87" i="2" s="1"/>
  <c r="L87" i="2"/>
  <c r="K87" i="2"/>
  <c r="J87" i="2"/>
  <c r="R86" i="2"/>
  <c r="P86" i="2"/>
  <c r="N86" i="2"/>
  <c r="M86" i="2"/>
  <c r="L86" i="2"/>
  <c r="K86" i="2"/>
  <c r="J86" i="2"/>
  <c r="N85" i="2"/>
  <c r="M85" i="2"/>
  <c r="Q85" i="2" s="1"/>
  <c r="L85" i="2"/>
  <c r="K85" i="2"/>
  <c r="J85" i="2"/>
  <c r="P85" i="2" s="1"/>
  <c r="I85" i="2"/>
  <c r="O85" i="2" s="1"/>
  <c r="P84" i="2"/>
  <c r="N84" i="2"/>
  <c r="M84" i="2"/>
  <c r="L84" i="2"/>
  <c r="K84" i="2"/>
  <c r="J84" i="2"/>
  <c r="S84" i="2" s="1"/>
  <c r="I84" i="2"/>
  <c r="O84" i="2" s="1"/>
  <c r="S83" i="2"/>
  <c r="O83" i="2"/>
  <c r="N83" i="2"/>
  <c r="M83" i="2"/>
  <c r="L83" i="2"/>
  <c r="K83" i="2"/>
  <c r="J83" i="2"/>
  <c r="R83" i="2" s="1"/>
  <c r="I83" i="2"/>
  <c r="R82" i="2"/>
  <c r="N82" i="2"/>
  <c r="M82" i="2"/>
  <c r="L82" i="2"/>
  <c r="K82" i="2"/>
  <c r="J82" i="2"/>
  <c r="I82" i="2"/>
  <c r="Q81" i="2"/>
  <c r="N81" i="2"/>
  <c r="M81" i="2"/>
  <c r="L81" i="2"/>
  <c r="K81" i="2"/>
  <c r="J81" i="2"/>
  <c r="P81" i="2" s="1"/>
  <c r="I81" i="2"/>
  <c r="P80" i="2"/>
  <c r="N80" i="2"/>
  <c r="M80" i="2"/>
  <c r="L80" i="2"/>
  <c r="K80" i="2"/>
  <c r="J80" i="2"/>
  <c r="S79" i="2"/>
  <c r="O79" i="2"/>
  <c r="N79" i="2"/>
  <c r="M79" i="2"/>
  <c r="L79" i="2"/>
  <c r="K79" i="2"/>
  <c r="J79" i="2"/>
  <c r="R79" i="2" s="1"/>
  <c r="I79" i="2"/>
  <c r="R78" i="2"/>
  <c r="N78" i="2"/>
  <c r="M78" i="2"/>
  <c r="L78" i="2"/>
  <c r="K78" i="2"/>
  <c r="J78" i="2"/>
  <c r="I78" i="2"/>
  <c r="Q77" i="2"/>
  <c r="N77" i="2"/>
  <c r="M77" i="2"/>
  <c r="L77" i="2"/>
  <c r="K77" i="2"/>
  <c r="J77" i="2"/>
  <c r="P77" i="2" s="1"/>
  <c r="I77" i="2"/>
  <c r="P76" i="2"/>
  <c r="N76" i="2"/>
  <c r="M76" i="2"/>
  <c r="L76" i="2"/>
  <c r="K76" i="2"/>
  <c r="J76" i="2"/>
  <c r="I76" i="2"/>
  <c r="O76" i="2" s="1"/>
  <c r="N75" i="2"/>
  <c r="M75" i="2"/>
  <c r="L75" i="2"/>
  <c r="K75" i="2"/>
  <c r="J75" i="2"/>
  <c r="R75" i="2" s="1"/>
  <c r="R74" i="2"/>
  <c r="N74" i="2"/>
  <c r="M74" i="2"/>
  <c r="L74" i="2"/>
  <c r="K74" i="2"/>
  <c r="J74" i="2"/>
  <c r="I74" i="2"/>
  <c r="N73" i="2"/>
  <c r="M73" i="2"/>
  <c r="L73" i="2"/>
  <c r="K73" i="2"/>
  <c r="J73" i="2"/>
  <c r="I73" i="2"/>
  <c r="N72" i="2"/>
  <c r="M72" i="2"/>
  <c r="L72" i="2"/>
  <c r="K72" i="2"/>
  <c r="I72" i="2"/>
  <c r="O72" i="2" s="1"/>
  <c r="O71" i="2"/>
  <c r="N71" i="2"/>
  <c r="M71" i="2"/>
  <c r="L71" i="2"/>
  <c r="K71" i="2"/>
  <c r="I71" i="2"/>
  <c r="N70" i="2"/>
  <c r="M70" i="2"/>
  <c r="L70" i="2"/>
  <c r="K70" i="2"/>
  <c r="I70" i="2"/>
  <c r="N69" i="2"/>
  <c r="M69" i="2"/>
  <c r="L69" i="2"/>
  <c r="K69" i="2"/>
  <c r="I69" i="2"/>
  <c r="N68" i="2"/>
  <c r="M68" i="2"/>
  <c r="L68" i="2"/>
  <c r="K68" i="2"/>
  <c r="J68" i="2"/>
  <c r="I68" i="2"/>
  <c r="O68" i="2" s="1"/>
  <c r="O67" i="2"/>
  <c r="N67" i="2"/>
  <c r="M67" i="2"/>
  <c r="L67" i="2"/>
  <c r="K67" i="2"/>
  <c r="I67" i="2"/>
  <c r="N66" i="2"/>
  <c r="M66" i="2"/>
  <c r="L66" i="2"/>
  <c r="K66" i="2"/>
  <c r="N65" i="2"/>
  <c r="M65" i="2"/>
  <c r="L65" i="2"/>
  <c r="K65" i="2"/>
  <c r="I65" i="2"/>
  <c r="O65" i="2" s="1"/>
  <c r="N64" i="2"/>
  <c r="M64" i="2"/>
  <c r="L64" i="2"/>
  <c r="K64" i="2"/>
  <c r="I64" i="2"/>
  <c r="O64" i="2" s="1"/>
  <c r="N63" i="2"/>
  <c r="M63" i="2"/>
  <c r="L63" i="2"/>
  <c r="K63" i="2"/>
  <c r="I63" i="2"/>
  <c r="N62" i="2"/>
  <c r="M62" i="2"/>
  <c r="L62" i="2"/>
  <c r="K62" i="2"/>
  <c r="N61" i="2"/>
  <c r="M61" i="2"/>
  <c r="L61" i="2"/>
  <c r="K61" i="2"/>
  <c r="I61" i="2"/>
  <c r="O61" i="2" s="1"/>
  <c r="N60" i="2"/>
  <c r="M60" i="2"/>
  <c r="L60" i="2"/>
  <c r="K60" i="2"/>
  <c r="I60" i="2"/>
  <c r="O60" i="2" s="1"/>
  <c r="O59" i="2"/>
  <c r="N59" i="2"/>
  <c r="M59" i="2"/>
  <c r="L59" i="2"/>
  <c r="K59" i="2"/>
  <c r="I59" i="2"/>
  <c r="R58" i="2"/>
  <c r="N58" i="2"/>
  <c r="M58" i="2"/>
  <c r="L58" i="2"/>
  <c r="K58" i="2"/>
  <c r="J58" i="2"/>
  <c r="I58" i="2"/>
  <c r="Q57" i="2"/>
  <c r="N57" i="2"/>
  <c r="M57" i="2"/>
  <c r="L57" i="2"/>
  <c r="K57" i="2"/>
  <c r="J57" i="2"/>
  <c r="P57" i="2" s="1"/>
  <c r="I57" i="2"/>
  <c r="N56" i="2"/>
  <c r="M56" i="2"/>
  <c r="L56" i="2"/>
  <c r="K56" i="2"/>
  <c r="I56" i="2"/>
  <c r="O56" i="2" s="1"/>
  <c r="N55" i="2"/>
  <c r="M55" i="2"/>
  <c r="L55" i="2"/>
  <c r="K55" i="2"/>
  <c r="I55" i="2"/>
  <c r="N54" i="2"/>
  <c r="M54" i="2"/>
  <c r="L54" i="2"/>
  <c r="K54" i="2"/>
  <c r="N53" i="2"/>
  <c r="M53" i="2"/>
  <c r="L53" i="2"/>
  <c r="K53" i="2"/>
  <c r="I53" i="2"/>
  <c r="N52" i="2"/>
  <c r="M52" i="2"/>
  <c r="L52" i="2"/>
  <c r="K52" i="2"/>
  <c r="N51" i="2"/>
  <c r="M51" i="2"/>
  <c r="L51" i="2"/>
  <c r="K51" i="2"/>
  <c r="N50" i="2"/>
  <c r="M50" i="2"/>
  <c r="L50" i="2"/>
  <c r="K50" i="2"/>
  <c r="N49" i="2"/>
  <c r="M49" i="2"/>
  <c r="L49" i="2"/>
  <c r="K49" i="2"/>
  <c r="N48" i="2"/>
  <c r="M48" i="2"/>
  <c r="L48" i="2"/>
  <c r="K48" i="2"/>
  <c r="N47" i="2"/>
  <c r="M47" i="2"/>
  <c r="L47" i="2"/>
  <c r="K47" i="2"/>
  <c r="N46" i="2"/>
  <c r="M46" i="2"/>
  <c r="L46" i="2"/>
  <c r="K46" i="2"/>
  <c r="N45" i="2"/>
  <c r="M45" i="2"/>
  <c r="L45" i="2"/>
  <c r="K45" i="2"/>
  <c r="N44" i="2"/>
  <c r="M44" i="2"/>
  <c r="L44" i="2"/>
  <c r="K44" i="2"/>
  <c r="N43" i="2"/>
  <c r="M43" i="2"/>
  <c r="L43" i="2"/>
  <c r="K43" i="2"/>
  <c r="N42" i="2"/>
  <c r="M42" i="2"/>
  <c r="L42" i="2"/>
  <c r="K42" i="2"/>
  <c r="N41" i="2"/>
  <c r="M41" i="2"/>
  <c r="L41" i="2"/>
  <c r="K41" i="2"/>
  <c r="N40" i="2"/>
  <c r="M40" i="2"/>
  <c r="L40" i="2"/>
  <c r="K40" i="2"/>
  <c r="N39" i="2"/>
  <c r="M39" i="2"/>
  <c r="L39" i="2"/>
  <c r="K39" i="2"/>
  <c r="N38" i="2"/>
  <c r="M38" i="2"/>
  <c r="L38" i="2"/>
  <c r="K38" i="2"/>
  <c r="N37" i="2"/>
  <c r="M37" i="2"/>
  <c r="L37" i="2"/>
  <c r="K37" i="2"/>
  <c r="N36" i="2"/>
  <c r="M36" i="2"/>
  <c r="L36" i="2"/>
  <c r="K36" i="2"/>
  <c r="N35" i="2"/>
  <c r="M35" i="2"/>
  <c r="L35" i="2"/>
  <c r="K35" i="2"/>
  <c r="N34" i="2"/>
  <c r="M34" i="2"/>
  <c r="L34" i="2"/>
  <c r="K34" i="2"/>
  <c r="N33" i="2"/>
  <c r="M33" i="2"/>
  <c r="L33" i="2"/>
  <c r="K33" i="2"/>
  <c r="N32" i="2"/>
  <c r="M32" i="2"/>
  <c r="L32" i="2"/>
  <c r="K32" i="2"/>
  <c r="N31" i="2"/>
  <c r="M31" i="2"/>
  <c r="L31" i="2"/>
  <c r="K31" i="2"/>
  <c r="N30" i="2"/>
  <c r="M30" i="2"/>
  <c r="L30" i="2"/>
  <c r="K30" i="2"/>
  <c r="N29" i="2"/>
  <c r="M29" i="2"/>
  <c r="L29" i="2"/>
  <c r="K29" i="2"/>
  <c r="N28" i="2"/>
  <c r="M28" i="2"/>
  <c r="L28" i="2"/>
  <c r="K28" i="2"/>
  <c r="N27" i="2"/>
  <c r="M27" i="2"/>
  <c r="L27" i="2"/>
  <c r="K27" i="2"/>
  <c r="N26" i="2"/>
  <c r="M26" i="2"/>
  <c r="L26" i="2"/>
  <c r="K26" i="2"/>
  <c r="N25" i="2"/>
  <c r="M25" i="2"/>
  <c r="L25" i="2"/>
  <c r="K25" i="2"/>
  <c r="N24" i="2"/>
  <c r="M24" i="2"/>
  <c r="L24" i="2"/>
  <c r="K24" i="2"/>
  <c r="N23" i="2"/>
  <c r="M23" i="2"/>
  <c r="L23" i="2"/>
  <c r="K23" i="2"/>
  <c r="N22" i="2"/>
  <c r="M22" i="2"/>
  <c r="L22" i="2"/>
  <c r="K22" i="2"/>
  <c r="N21" i="2"/>
  <c r="M21" i="2"/>
  <c r="L21" i="2"/>
  <c r="K21" i="2"/>
  <c r="N20" i="2"/>
  <c r="M20" i="2"/>
  <c r="L20" i="2"/>
  <c r="K20" i="2"/>
  <c r="N19" i="2"/>
  <c r="M19" i="2"/>
  <c r="L19" i="2"/>
  <c r="K19" i="2"/>
  <c r="N18" i="2"/>
  <c r="M18" i="2"/>
  <c r="L18" i="2"/>
  <c r="K18" i="2"/>
  <c r="N17" i="2"/>
  <c r="M17" i="2"/>
  <c r="L17" i="2"/>
  <c r="K17" i="2"/>
  <c r="N16" i="2"/>
  <c r="M16" i="2"/>
  <c r="L16" i="2"/>
  <c r="K16" i="2"/>
  <c r="N15" i="2"/>
  <c r="M15" i="2"/>
  <c r="L15" i="2"/>
  <c r="K15" i="2"/>
  <c r="N14" i="2"/>
  <c r="M14" i="2"/>
  <c r="L14" i="2"/>
  <c r="K14" i="2"/>
  <c r="M13" i="2"/>
  <c r="L13" i="2"/>
  <c r="K13" i="2"/>
  <c r="M12" i="2"/>
  <c r="L12" i="2"/>
  <c r="K12" i="2"/>
  <c r="H12" i="2"/>
  <c r="N13" i="2" s="1"/>
  <c r="G12" i="2"/>
  <c r="G11" i="2" s="1"/>
  <c r="G10" i="2" s="1"/>
  <c r="G9" i="2" s="1"/>
  <c r="G8" i="2" s="1"/>
  <c r="G7" i="2" s="1"/>
  <c r="M11" i="2"/>
  <c r="L11" i="2"/>
  <c r="K11" i="2"/>
  <c r="H11" i="2"/>
  <c r="H10" i="2" s="1"/>
  <c r="H9" i="2" s="1"/>
  <c r="M10" i="2"/>
  <c r="L10" i="2"/>
  <c r="K10" i="2"/>
  <c r="M9" i="2"/>
  <c r="L9" i="2"/>
  <c r="K9" i="2"/>
  <c r="M8" i="2"/>
  <c r="L8" i="2"/>
  <c r="K8" i="2"/>
  <c r="B239" i="1"/>
  <c r="B238" i="1"/>
  <c r="B237" i="1"/>
  <c r="B236" i="1"/>
  <c r="B235" i="1"/>
  <c r="E233" i="1"/>
  <c r="E232" i="1"/>
  <c r="E231" i="1"/>
  <c r="E230" i="1"/>
  <c r="E229" i="1"/>
  <c r="E228" i="1"/>
  <c r="E227" i="1"/>
  <c r="E226" i="1"/>
  <c r="F225" i="1"/>
  <c r="F226" i="1" s="1"/>
  <c r="E225" i="1"/>
  <c r="F224" i="1"/>
  <c r="G224" i="1" s="1"/>
  <c r="D224" i="1"/>
  <c r="E224" i="1" s="1"/>
  <c r="D223" i="1"/>
  <c r="D222" i="1"/>
  <c r="E222" i="1" s="1"/>
  <c r="D221" i="1"/>
  <c r="E221" i="1" s="1"/>
  <c r="D220" i="1"/>
  <c r="E220" i="1" s="1"/>
  <c r="D219" i="1"/>
  <c r="D218" i="1"/>
  <c r="B214" i="1"/>
  <c r="B213" i="1"/>
  <c r="B212" i="1"/>
  <c r="B211" i="1"/>
  <c r="E199" i="1"/>
  <c r="D199" i="1"/>
  <c r="D198" i="1"/>
  <c r="E198" i="1" s="1"/>
  <c r="E197" i="1"/>
  <c r="D197" i="1"/>
  <c r="D196" i="1"/>
  <c r="E196" i="1" s="1"/>
  <c r="E195" i="1"/>
  <c r="D195" i="1"/>
  <c r="D194" i="1"/>
  <c r="E194" i="1" s="1"/>
  <c r="E193" i="1"/>
  <c r="D193" i="1"/>
  <c r="D192" i="1"/>
  <c r="E192" i="1" s="1"/>
  <c r="E191" i="1"/>
  <c r="D191" i="1"/>
  <c r="D190" i="1"/>
  <c r="E190" i="1" s="1"/>
  <c r="E189" i="1"/>
  <c r="D189" i="1"/>
  <c r="D188" i="1"/>
  <c r="E188" i="1" s="1"/>
  <c r="E187" i="1"/>
  <c r="D187" i="1"/>
  <c r="D186" i="1"/>
  <c r="E186" i="1" s="1"/>
  <c r="E185" i="1"/>
  <c r="D185" i="1"/>
  <c r="D184" i="1"/>
  <c r="E184" i="1" s="1"/>
  <c r="E183" i="1"/>
  <c r="D183" i="1"/>
  <c r="D182" i="1"/>
  <c r="E182" i="1" s="1"/>
  <c r="E181" i="1"/>
  <c r="D181" i="1"/>
  <c r="D180" i="1"/>
  <c r="E180" i="1" s="1"/>
  <c r="E179" i="1"/>
  <c r="D179" i="1"/>
  <c r="D178" i="1"/>
  <c r="E178" i="1" s="1"/>
  <c r="E177" i="1"/>
  <c r="D177" i="1"/>
  <c r="D176" i="1"/>
  <c r="E176" i="1" s="1"/>
  <c r="E175" i="1"/>
  <c r="D175" i="1"/>
  <c r="D174" i="1"/>
  <c r="E174" i="1" s="1"/>
  <c r="E173" i="1"/>
  <c r="D173" i="1"/>
  <c r="D172" i="1"/>
  <c r="E172" i="1" s="1"/>
  <c r="E171" i="1"/>
  <c r="D171" i="1"/>
  <c r="D170" i="1"/>
  <c r="E170" i="1" s="1"/>
  <c r="E169" i="1"/>
  <c r="D169" i="1"/>
  <c r="D168" i="1"/>
  <c r="E168" i="1" s="1"/>
  <c r="E167" i="1"/>
  <c r="D167" i="1"/>
  <c r="D166" i="1"/>
  <c r="E166" i="1" s="1"/>
  <c r="E165" i="1"/>
  <c r="D165" i="1"/>
  <c r="D164" i="1"/>
  <c r="E164" i="1" s="1"/>
  <c r="E163" i="1"/>
  <c r="D163" i="1"/>
  <c r="D162" i="1"/>
  <c r="E162" i="1" s="1"/>
  <c r="E161" i="1"/>
  <c r="D161" i="1"/>
  <c r="D160" i="1"/>
  <c r="E160" i="1" s="1"/>
  <c r="E159" i="1"/>
  <c r="D159" i="1"/>
  <c r="D158" i="1"/>
  <c r="E158" i="1" s="1"/>
  <c r="B154" i="1"/>
  <c r="B153" i="1"/>
  <c r="B152" i="1"/>
  <c r="B151" i="1"/>
  <c r="B150" i="1"/>
  <c r="B149" i="1"/>
  <c r="J148" i="1"/>
  <c r="H147" i="1"/>
  <c r="I147" i="1" s="1"/>
  <c r="D147" i="1"/>
  <c r="E147" i="1" s="1"/>
  <c r="D146" i="1"/>
  <c r="E146" i="1" s="1"/>
  <c r="D145" i="1"/>
  <c r="E145" i="1" s="1"/>
  <c r="I144" i="1"/>
  <c r="H144" i="1"/>
  <c r="D144" i="1"/>
  <c r="E144" i="1" s="1"/>
  <c r="H143" i="1"/>
  <c r="I143" i="1" s="1"/>
  <c r="D143" i="1"/>
  <c r="E143" i="1" s="1"/>
  <c r="H142" i="1"/>
  <c r="I142" i="1" s="1"/>
  <c r="D142" i="1"/>
  <c r="E142" i="1" s="1"/>
  <c r="H141" i="1"/>
  <c r="I141" i="1" s="1"/>
  <c r="D141" i="1"/>
  <c r="E141" i="1" s="1"/>
  <c r="I140" i="1"/>
  <c r="H140" i="1"/>
  <c r="D140" i="1"/>
  <c r="E140" i="1" s="1"/>
  <c r="H139" i="1"/>
  <c r="I139" i="1" s="1"/>
  <c r="D139" i="1"/>
  <c r="E139" i="1" s="1"/>
  <c r="H138" i="1"/>
  <c r="I138" i="1" s="1"/>
  <c r="D138" i="1"/>
  <c r="E138" i="1" s="1"/>
  <c r="H137" i="1"/>
  <c r="I137" i="1" s="1"/>
  <c r="D137" i="1"/>
  <c r="E137" i="1" s="1"/>
  <c r="I136" i="1"/>
  <c r="H136" i="1"/>
  <c r="D136" i="1"/>
  <c r="E136" i="1" s="1"/>
  <c r="H135" i="1"/>
  <c r="I135" i="1" s="1"/>
  <c r="D135" i="1"/>
  <c r="E135" i="1" s="1"/>
  <c r="H134" i="1"/>
  <c r="I134" i="1" s="1"/>
  <c r="D134" i="1"/>
  <c r="E134" i="1" s="1"/>
  <c r="E133" i="1" s="1"/>
  <c r="A114" i="1"/>
  <c r="A113" i="1"/>
  <c r="A112" i="1"/>
  <c r="A111" i="1"/>
  <c r="A110" i="1"/>
  <c r="A109" i="1"/>
  <c r="A108" i="1"/>
  <c r="A107" i="1"/>
  <c r="A106" i="1"/>
  <c r="A105" i="1"/>
  <c r="A104" i="1"/>
  <c r="A103" i="1"/>
  <c r="L89" i="1"/>
  <c r="K89" i="1"/>
  <c r="L88" i="1"/>
  <c r="K88" i="1"/>
  <c r="I88" i="1"/>
  <c r="F88" i="1"/>
  <c r="L87" i="1"/>
  <c r="K87" i="1"/>
  <c r="J87" i="1"/>
  <c r="C87" i="14" s="1"/>
  <c r="I87" i="1"/>
  <c r="F87" i="1"/>
  <c r="L86" i="1"/>
  <c r="K86" i="1"/>
  <c r="J86" i="1"/>
  <c r="C86" i="14" s="1"/>
  <c r="I86" i="1"/>
  <c r="F86" i="1"/>
  <c r="L85" i="1"/>
  <c r="K85" i="1"/>
  <c r="J85" i="1"/>
  <c r="C85" i="14" s="1"/>
  <c r="I85" i="1"/>
  <c r="F85" i="1"/>
  <c r="L84" i="1"/>
  <c r="K84" i="1"/>
  <c r="I84" i="1"/>
  <c r="F84" i="1"/>
  <c r="L83" i="1"/>
  <c r="K83" i="1"/>
  <c r="I83" i="1"/>
  <c r="F83" i="1"/>
  <c r="J83" i="1" s="1"/>
  <c r="L82" i="1"/>
  <c r="K82" i="1"/>
  <c r="J82" i="1"/>
  <c r="C82" i="14" s="1"/>
  <c r="I82" i="1"/>
  <c r="F82" i="1"/>
  <c r="L81" i="1"/>
  <c r="K81" i="1"/>
  <c r="I81" i="1"/>
  <c r="F81" i="1"/>
  <c r="J81" i="1" s="1"/>
  <c r="L80" i="1"/>
  <c r="K80" i="1"/>
  <c r="I80" i="1"/>
  <c r="F80" i="1"/>
  <c r="L79" i="1"/>
  <c r="K79" i="1"/>
  <c r="I79" i="1"/>
  <c r="F79" i="1"/>
  <c r="L78" i="1"/>
  <c r="K78" i="1"/>
  <c r="J78" i="1"/>
  <c r="C78" i="14" s="1"/>
  <c r="I78" i="1"/>
  <c r="F78" i="1"/>
  <c r="L77" i="1"/>
  <c r="K77" i="1"/>
  <c r="I77" i="1"/>
  <c r="F77" i="1"/>
  <c r="J77" i="1" s="1"/>
  <c r="L76" i="1"/>
  <c r="K76" i="1"/>
  <c r="I76" i="1"/>
  <c r="F76" i="1"/>
  <c r="E76" i="1"/>
  <c r="L75" i="1"/>
  <c r="K75" i="1"/>
  <c r="I75" i="1"/>
  <c r="F75" i="1"/>
  <c r="E75" i="1"/>
  <c r="L74" i="1"/>
  <c r="K74" i="1"/>
  <c r="I74" i="1"/>
  <c r="F74" i="1"/>
  <c r="E74" i="1"/>
  <c r="L73" i="1"/>
  <c r="K73" i="1"/>
  <c r="I73" i="1"/>
  <c r="F73" i="1"/>
  <c r="E73" i="1"/>
  <c r="L72" i="1"/>
  <c r="K72" i="1"/>
  <c r="I72" i="1"/>
  <c r="F72" i="1"/>
  <c r="E72" i="1"/>
  <c r="L71" i="1"/>
  <c r="K71" i="1"/>
  <c r="I71" i="1"/>
  <c r="F71" i="1"/>
  <c r="E71" i="1"/>
  <c r="L70" i="1"/>
  <c r="K70" i="1"/>
  <c r="I70" i="1"/>
  <c r="F70" i="1"/>
  <c r="E70" i="1"/>
  <c r="L69" i="1"/>
  <c r="K69" i="1"/>
  <c r="I69" i="1"/>
  <c r="F69" i="1"/>
  <c r="E69" i="1"/>
  <c r="L68" i="1"/>
  <c r="K68" i="1"/>
  <c r="I68" i="1"/>
  <c r="F68" i="1"/>
  <c r="E68" i="1"/>
  <c r="L67" i="1"/>
  <c r="K67" i="1"/>
  <c r="I67" i="1"/>
  <c r="F67" i="1"/>
  <c r="L66" i="1"/>
  <c r="K66" i="1"/>
  <c r="J66" i="1"/>
  <c r="C66" i="14" s="1"/>
  <c r="I66" i="1"/>
  <c r="F66" i="1"/>
  <c r="E66" i="1"/>
  <c r="L65" i="1"/>
  <c r="K65" i="1"/>
  <c r="I65" i="1"/>
  <c r="F65" i="1"/>
  <c r="E65" i="1"/>
  <c r="L64" i="1"/>
  <c r="K64" i="1"/>
  <c r="J64" i="1"/>
  <c r="C64" i="14" s="1"/>
  <c r="I64" i="1"/>
  <c r="F64" i="1"/>
  <c r="E64" i="1"/>
  <c r="L63" i="1"/>
  <c r="K63" i="1"/>
  <c r="I63" i="1"/>
  <c r="F63" i="1"/>
  <c r="E63" i="1"/>
  <c r="L62" i="1"/>
  <c r="K62" i="1"/>
  <c r="J62" i="1"/>
  <c r="C62" i="14" s="1"/>
  <c r="I62" i="1"/>
  <c r="F62" i="1"/>
  <c r="E62" i="1"/>
  <c r="L61" i="1"/>
  <c r="K61" i="1"/>
  <c r="I61" i="1"/>
  <c r="F61" i="1"/>
  <c r="E61" i="1"/>
  <c r="L60" i="1"/>
  <c r="K60" i="1"/>
  <c r="J60" i="1"/>
  <c r="C60" i="14" s="1"/>
  <c r="I60" i="1"/>
  <c r="F60" i="1"/>
  <c r="E60" i="1"/>
  <c r="L59" i="1"/>
  <c r="K59" i="1"/>
  <c r="I59" i="1"/>
  <c r="F59" i="1"/>
  <c r="E59" i="1"/>
  <c r="L58" i="1"/>
  <c r="K58" i="1"/>
  <c r="J58" i="1"/>
  <c r="C58" i="14" s="1"/>
  <c r="I58" i="1"/>
  <c r="F58" i="1"/>
  <c r="E58" i="1"/>
  <c r="L57" i="1"/>
  <c r="K57" i="1"/>
  <c r="I57" i="1"/>
  <c r="F57" i="1"/>
  <c r="L56" i="1"/>
  <c r="K56" i="1"/>
  <c r="J56" i="1"/>
  <c r="C56" i="14" s="1"/>
  <c r="I56" i="1"/>
  <c r="F56" i="1"/>
  <c r="E56" i="1"/>
  <c r="L55" i="1"/>
  <c r="K55" i="1"/>
  <c r="J55" i="1"/>
  <c r="C55" i="14" s="1"/>
  <c r="I55" i="1"/>
  <c r="F55" i="1"/>
  <c r="E55" i="1"/>
  <c r="L54" i="1"/>
  <c r="K54" i="1"/>
  <c r="J54" i="1"/>
  <c r="C54" i="14" s="1"/>
  <c r="F54" i="14" s="1"/>
  <c r="I54" i="1"/>
  <c r="F54" i="1"/>
  <c r="E54" i="1"/>
  <c r="L53" i="1"/>
  <c r="K53" i="1"/>
  <c r="J53" i="1"/>
  <c r="C53" i="14" s="1"/>
  <c r="I53" i="1"/>
  <c r="F53" i="1"/>
  <c r="E53" i="1"/>
  <c r="L52" i="1"/>
  <c r="K52" i="1"/>
  <c r="J52" i="1"/>
  <c r="C52" i="14" s="1"/>
  <c r="I52" i="1"/>
  <c r="F52" i="1"/>
  <c r="E52" i="1"/>
  <c r="L51" i="1"/>
  <c r="K51" i="1"/>
  <c r="J51" i="1"/>
  <c r="C51" i="14" s="1"/>
  <c r="I51" i="1"/>
  <c r="F51" i="1"/>
  <c r="E51" i="1"/>
  <c r="L50" i="1"/>
  <c r="K50" i="1"/>
  <c r="J50" i="1"/>
  <c r="C50" i="14" s="1"/>
  <c r="F50" i="14" s="1"/>
  <c r="I50" i="1"/>
  <c r="F50" i="1"/>
  <c r="E50" i="1"/>
  <c r="L49" i="1"/>
  <c r="K49" i="1"/>
  <c r="J49" i="1"/>
  <c r="C49" i="14" s="1"/>
  <c r="I49" i="1"/>
  <c r="F49" i="1"/>
  <c r="E49" i="1"/>
  <c r="H146" i="1" s="1"/>
  <c r="I146" i="1" s="1"/>
  <c r="L48" i="1"/>
  <c r="K48" i="1"/>
  <c r="J48" i="1"/>
  <c r="C48" i="14" s="1"/>
  <c r="I48" i="1"/>
  <c r="F48" i="1"/>
  <c r="E48" i="1"/>
  <c r="H145" i="1" s="1"/>
  <c r="I145" i="1" s="1"/>
  <c r="L47" i="1"/>
  <c r="K47" i="1"/>
  <c r="J47" i="1"/>
  <c r="C47" i="14" s="1"/>
  <c r="I47" i="1"/>
  <c r="F47" i="1"/>
  <c r="L46" i="1"/>
  <c r="K46" i="1"/>
  <c r="I46" i="1"/>
  <c r="F46" i="1"/>
  <c r="J46" i="1" s="1"/>
  <c r="E46" i="1"/>
  <c r="L45" i="1"/>
  <c r="K45" i="1"/>
  <c r="J45" i="1"/>
  <c r="C45" i="14" s="1"/>
  <c r="F45" i="14" s="1"/>
  <c r="I45" i="1"/>
  <c r="F45" i="1"/>
  <c r="E45" i="1"/>
  <c r="L44" i="1"/>
  <c r="K44" i="1"/>
  <c r="J44" i="1"/>
  <c r="C44" i="14" s="1"/>
  <c r="I44" i="1"/>
  <c r="F44" i="1"/>
  <c r="E44" i="1"/>
  <c r="L43" i="1"/>
  <c r="K43" i="1"/>
  <c r="I43" i="1"/>
  <c r="F43" i="1"/>
  <c r="E43" i="1"/>
  <c r="L42" i="1"/>
  <c r="K42" i="1"/>
  <c r="I42" i="1"/>
  <c r="F42" i="1"/>
  <c r="E42" i="1"/>
  <c r="L41" i="1"/>
  <c r="K41" i="1"/>
  <c r="J41" i="1"/>
  <c r="C41" i="14" s="1"/>
  <c r="F41" i="14" s="1"/>
  <c r="I41" i="1"/>
  <c r="F41" i="1"/>
  <c r="E41" i="1"/>
  <c r="L40" i="1"/>
  <c r="K40" i="1"/>
  <c r="J40" i="1"/>
  <c r="C40" i="14" s="1"/>
  <c r="I40" i="1"/>
  <c r="F40" i="1"/>
  <c r="E40" i="1"/>
  <c r="L39" i="1"/>
  <c r="K39" i="1"/>
  <c r="I39" i="1"/>
  <c r="F39" i="1"/>
  <c r="E39" i="1"/>
  <c r="L38" i="1"/>
  <c r="K38" i="1"/>
  <c r="I38" i="1"/>
  <c r="F38" i="1"/>
  <c r="J38" i="1" s="1"/>
  <c r="E38" i="1"/>
  <c r="L37" i="1"/>
  <c r="K37" i="1"/>
  <c r="J37" i="1"/>
  <c r="C37" i="14" s="1"/>
  <c r="I37" i="1"/>
  <c r="F37" i="1"/>
  <c r="L36" i="1"/>
  <c r="K36" i="1"/>
  <c r="C36" i="1"/>
  <c r="L35" i="1"/>
  <c r="K35" i="1"/>
  <c r="C35" i="1"/>
  <c r="L34" i="1"/>
  <c r="K34" i="1"/>
  <c r="C34" i="1"/>
  <c r="L33" i="1"/>
  <c r="K33" i="1"/>
  <c r="C33" i="1"/>
  <c r="L32" i="1"/>
  <c r="K32" i="1"/>
  <c r="C32" i="1"/>
  <c r="L31" i="1"/>
  <c r="K31" i="1"/>
  <c r="C31" i="1"/>
  <c r="L30" i="1"/>
  <c r="K30" i="1"/>
  <c r="C30" i="1"/>
  <c r="L29" i="1"/>
  <c r="K29" i="1"/>
  <c r="C29" i="1"/>
  <c r="L28" i="1"/>
  <c r="K28" i="1"/>
  <c r="C28" i="1"/>
  <c r="L27" i="1"/>
  <c r="K27" i="1"/>
  <c r="C27" i="1"/>
  <c r="L26" i="1"/>
  <c r="K26" i="1"/>
  <c r="C26" i="1"/>
  <c r="L25" i="1"/>
  <c r="K25" i="1"/>
  <c r="C25" i="1"/>
  <c r="L24" i="1"/>
  <c r="K24" i="1"/>
  <c r="L23" i="1"/>
  <c r="K23" i="1"/>
  <c r="L22" i="1"/>
  <c r="K22" i="1"/>
  <c r="L21" i="1"/>
  <c r="K21" i="1"/>
  <c r="L20" i="1"/>
  <c r="K20" i="1"/>
  <c r="L19" i="1"/>
  <c r="K19" i="1"/>
  <c r="L18" i="1"/>
  <c r="K18" i="1"/>
  <c r="L17" i="1"/>
  <c r="K17" i="1"/>
  <c r="C17" i="1"/>
  <c r="C18" i="1" s="1"/>
  <c r="C19" i="1" s="1"/>
  <c r="C20" i="1" s="1"/>
  <c r="C21" i="1" s="1"/>
  <c r="C22" i="1" s="1"/>
  <c r="C23" i="1" s="1"/>
  <c r="C24" i="1" s="1"/>
  <c r="L16" i="1"/>
  <c r="K16" i="1"/>
  <c r="L15" i="1"/>
  <c r="K15" i="1"/>
  <c r="L14" i="1"/>
  <c r="K14" i="1"/>
  <c r="L13" i="1"/>
  <c r="K13" i="1"/>
  <c r="C13" i="1"/>
  <c r="C14" i="1" s="1"/>
  <c r="C15" i="1" s="1"/>
  <c r="C16" i="1" s="1"/>
  <c r="L12" i="1"/>
  <c r="K12" i="1"/>
  <c r="C12" i="1"/>
  <c r="L11" i="1"/>
  <c r="K11" i="1"/>
  <c r="L10" i="1"/>
  <c r="K10" i="1"/>
  <c r="L9" i="1"/>
  <c r="K9" i="1"/>
  <c r="L8" i="1"/>
  <c r="K8" i="1"/>
  <c r="L7" i="1"/>
  <c r="K7" i="1"/>
  <c r="C7" i="1"/>
  <c r="C8" i="1" s="1"/>
  <c r="C9" i="1" s="1"/>
  <c r="C10" i="1" s="1"/>
  <c r="C11" i="1" s="1"/>
  <c r="L6" i="1"/>
  <c r="K6" i="1"/>
  <c r="C6" i="1"/>
  <c r="F133" i="1" l="1"/>
  <c r="B36" i="1" s="1"/>
  <c r="E132" i="1"/>
  <c r="C77" i="14"/>
  <c r="J133" i="1"/>
  <c r="J129" i="1"/>
  <c r="J125" i="1"/>
  <c r="J121" i="1"/>
  <c r="I133" i="1"/>
  <c r="I132" i="1" s="1"/>
  <c r="I131" i="1" s="1"/>
  <c r="I130" i="1" s="1"/>
  <c r="I129" i="1" s="1"/>
  <c r="I128" i="1" s="1"/>
  <c r="I127" i="1" s="1"/>
  <c r="I126" i="1" s="1"/>
  <c r="I125" i="1" s="1"/>
  <c r="I124" i="1" s="1"/>
  <c r="I123" i="1" s="1"/>
  <c r="I122" i="1" s="1"/>
  <c r="I121" i="1" s="1"/>
  <c r="I120" i="1" s="1"/>
  <c r="I119" i="1" s="1"/>
  <c r="J130" i="1"/>
  <c r="J126" i="1"/>
  <c r="J122" i="1"/>
  <c r="J124" i="1"/>
  <c r="J120" i="1"/>
  <c r="J131" i="1"/>
  <c r="J127" i="1"/>
  <c r="J123" i="1"/>
  <c r="J119" i="1"/>
  <c r="J132" i="1"/>
  <c r="J128" i="1"/>
  <c r="E40" i="10"/>
  <c r="F227" i="1"/>
  <c r="G226" i="1"/>
  <c r="H91" i="1" s="1"/>
  <c r="G91" i="1"/>
  <c r="K91" i="1" s="1"/>
  <c r="E48" i="10"/>
  <c r="C81" i="14"/>
  <c r="E56" i="10"/>
  <c r="K70" i="10"/>
  <c r="J70" i="9"/>
  <c r="I70" i="9"/>
  <c r="H70" i="9"/>
  <c r="G70" i="9"/>
  <c r="F135" i="8"/>
  <c r="D47" i="8"/>
  <c r="L78" i="10" s="1"/>
  <c r="E38" i="10"/>
  <c r="J74" i="9"/>
  <c r="I74" i="9"/>
  <c r="H74" i="9"/>
  <c r="G74" i="9"/>
  <c r="E64" i="10"/>
  <c r="C38" i="14"/>
  <c r="F38" i="14" s="1"/>
  <c r="C46" i="14"/>
  <c r="F46" i="14" s="1"/>
  <c r="C83" i="14"/>
  <c r="E200" i="1"/>
  <c r="H8" i="2"/>
  <c r="N9" i="2"/>
  <c r="K77" i="10"/>
  <c r="I77" i="9"/>
  <c r="H77" i="9"/>
  <c r="G77" i="9"/>
  <c r="J77" i="9"/>
  <c r="C22" i="13"/>
  <c r="G22" i="13" s="1"/>
  <c r="D21" i="13"/>
  <c r="H21" i="13" s="1"/>
  <c r="K21" i="13" s="1"/>
  <c r="F78" i="14"/>
  <c r="D78" i="14"/>
  <c r="F87" i="14"/>
  <c r="D87" i="14"/>
  <c r="M13" i="8"/>
  <c r="D13" i="8"/>
  <c r="L44" i="10" s="1"/>
  <c r="E50" i="10"/>
  <c r="M54" i="10"/>
  <c r="K65" i="10"/>
  <c r="I65" i="9"/>
  <c r="H65" i="9"/>
  <c r="G65" i="9"/>
  <c r="D40" i="14"/>
  <c r="C19" i="13"/>
  <c r="G19" i="13" s="1"/>
  <c r="D18" i="13"/>
  <c r="H18" i="13" s="1"/>
  <c r="D44" i="14"/>
  <c r="F47" i="14"/>
  <c r="D47" i="14"/>
  <c r="G47" i="14" s="1"/>
  <c r="F51" i="14"/>
  <c r="D51" i="14"/>
  <c r="G51" i="14" s="1"/>
  <c r="F55" i="14"/>
  <c r="D55" i="14"/>
  <c r="D22" i="13"/>
  <c r="H22" i="13" s="1"/>
  <c r="K22" i="13" s="1"/>
  <c r="C23" i="13"/>
  <c r="G23" i="13" s="1"/>
  <c r="J69" i="1"/>
  <c r="J73" i="1"/>
  <c r="J80" i="1"/>
  <c r="F82" i="14"/>
  <c r="D82" i="14"/>
  <c r="E219" i="1"/>
  <c r="G225" i="1"/>
  <c r="H90" i="1" s="1"/>
  <c r="O69" i="2"/>
  <c r="O70" i="2"/>
  <c r="S76" i="2"/>
  <c r="S80" i="2"/>
  <c r="F92" i="2"/>
  <c r="H123" i="2"/>
  <c r="G162" i="2"/>
  <c r="G163" i="2"/>
  <c r="F167" i="2"/>
  <c r="Q46" i="8"/>
  <c r="C46" i="4"/>
  <c r="X46" i="4" s="1"/>
  <c r="Y46" i="4" s="1"/>
  <c r="F146" i="8"/>
  <c r="D58" i="8"/>
  <c r="L89" i="10" s="1"/>
  <c r="L89" i="11" s="1"/>
  <c r="C42" i="5"/>
  <c r="U42" i="5" s="1"/>
  <c r="V42" i="5" s="1"/>
  <c r="C46" i="5"/>
  <c r="U46" i="5" s="1"/>
  <c r="V46" i="5" s="1"/>
  <c r="C50" i="5"/>
  <c r="U50" i="5" s="1"/>
  <c r="V50" i="5" s="1"/>
  <c r="C54" i="5"/>
  <c r="U54" i="5" s="1"/>
  <c r="V54" i="5" s="1"/>
  <c r="C58" i="5"/>
  <c r="U58" i="5" s="1"/>
  <c r="V58" i="5" s="1"/>
  <c r="D8" i="8"/>
  <c r="L39" i="10" s="1"/>
  <c r="M11" i="8"/>
  <c r="D11" i="8"/>
  <c r="L42" i="10" s="1"/>
  <c r="F43" i="9"/>
  <c r="E43" i="9"/>
  <c r="M44" i="10"/>
  <c r="D16" i="8"/>
  <c r="L47" i="10" s="1"/>
  <c r="M19" i="8"/>
  <c r="D19" i="8"/>
  <c r="L50" i="10" s="1"/>
  <c r="F51" i="9"/>
  <c r="E51" i="9"/>
  <c r="M52" i="10"/>
  <c r="D24" i="8"/>
  <c r="L55" i="10" s="1"/>
  <c r="M27" i="8"/>
  <c r="D27" i="8"/>
  <c r="L58" i="10" s="1"/>
  <c r="F59" i="9"/>
  <c r="E59" i="9"/>
  <c r="M60" i="10"/>
  <c r="D32" i="8"/>
  <c r="L63" i="10" s="1"/>
  <c r="F67" i="9"/>
  <c r="P67" i="10"/>
  <c r="C67" i="9" s="1"/>
  <c r="E67" i="9"/>
  <c r="G73" i="11"/>
  <c r="F73" i="11" s="1"/>
  <c r="C42" i="8"/>
  <c r="E73" i="10" s="1"/>
  <c r="C45" i="8"/>
  <c r="L136" i="8"/>
  <c r="D50" i="8"/>
  <c r="L81" i="10" s="1"/>
  <c r="D57" i="8"/>
  <c r="L88" i="10" s="1"/>
  <c r="P147" i="8"/>
  <c r="F48" i="14"/>
  <c r="D48" i="14"/>
  <c r="F52" i="14"/>
  <c r="D52" i="14"/>
  <c r="C12" i="13"/>
  <c r="G12" i="13" s="1"/>
  <c r="D11" i="13"/>
  <c r="H11" i="13" s="1"/>
  <c r="D64" i="14"/>
  <c r="J72" i="1"/>
  <c r="I234" i="10"/>
  <c r="I233" i="10"/>
  <c r="I232" i="10"/>
  <c r="I231" i="10"/>
  <c r="H231" i="10" s="1"/>
  <c r="I230" i="10"/>
  <c r="H230" i="10" s="1"/>
  <c r="I224" i="10"/>
  <c r="I223" i="10"/>
  <c r="I222" i="10"/>
  <c r="I221" i="10"/>
  <c r="I220" i="10"/>
  <c r="I219" i="10"/>
  <c r="I218" i="10"/>
  <c r="I217" i="10"/>
  <c r="I216" i="10"/>
  <c r="H216" i="10" s="1"/>
  <c r="I215" i="10"/>
  <c r="H215" i="10" s="1"/>
  <c r="I209" i="10"/>
  <c r="I208" i="10"/>
  <c r="I207" i="10"/>
  <c r="I206" i="10"/>
  <c r="I205" i="10"/>
  <c r="H205" i="10" s="1"/>
  <c r="I204" i="10"/>
  <c r="H204" i="10" s="1"/>
  <c r="I229" i="10"/>
  <c r="I228" i="10"/>
  <c r="I227" i="10"/>
  <c r="H227" i="10" s="1"/>
  <c r="I226" i="10"/>
  <c r="H226" i="10" s="1"/>
  <c r="I225" i="10"/>
  <c r="H225" i="10" s="1"/>
  <c r="I214" i="10"/>
  <c r="H214" i="10" s="1"/>
  <c r="I213" i="10"/>
  <c r="H213" i="10" s="1"/>
  <c r="I212" i="10"/>
  <c r="H212" i="10" s="1"/>
  <c r="I211" i="10"/>
  <c r="H211" i="10" s="1"/>
  <c r="I210" i="10"/>
  <c r="H210" i="10" s="1"/>
  <c r="E42" i="10"/>
  <c r="M46" i="10"/>
  <c r="E53" i="9"/>
  <c r="D53" i="9"/>
  <c r="F53" i="9"/>
  <c r="E58" i="10"/>
  <c r="E27" i="8"/>
  <c r="M29" i="8"/>
  <c r="D29" i="8"/>
  <c r="L60" i="10" s="1"/>
  <c r="K69" i="10"/>
  <c r="I69" i="9"/>
  <c r="H69" i="9"/>
  <c r="G69" i="9"/>
  <c r="J69" i="9"/>
  <c r="F75" i="9"/>
  <c r="E75" i="9"/>
  <c r="F84" i="9"/>
  <c r="E84" i="9"/>
  <c r="M148" i="8"/>
  <c r="Q148" i="8"/>
  <c r="J65" i="9"/>
  <c r="C10" i="13"/>
  <c r="G10" i="13" s="1"/>
  <c r="D9" i="13"/>
  <c r="H9" i="13" s="1"/>
  <c r="J39" i="1"/>
  <c r="J43" i="1"/>
  <c r="J57" i="1"/>
  <c r="J61" i="1"/>
  <c r="J63" i="1"/>
  <c r="J65" i="1"/>
  <c r="J70" i="1"/>
  <c r="J74" i="1"/>
  <c r="J79" i="1"/>
  <c r="C25" i="13"/>
  <c r="G25" i="13" s="1"/>
  <c r="D24" i="13"/>
  <c r="H24" i="13" s="1"/>
  <c r="J84" i="1"/>
  <c r="F86" i="14"/>
  <c r="D86" i="14"/>
  <c r="C15" i="13"/>
  <c r="G15" i="13" s="1"/>
  <c r="D14" i="13"/>
  <c r="H14" i="13" s="1"/>
  <c r="G90" i="1"/>
  <c r="K90" i="1" s="1"/>
  <c r="I54" i="2"/>
  <c r="F152" i="2"/>
  <c r="G168" i="2"/>
  <c r="B91" i="2"/>
  <c r="K91" i="2" s="1"/>
  <c r="G179" i="2"/>
  <c r="E215" i="2"/>
  <c r="J53" i="2"/>
  <c r="S56" i="2"/>
  <c r="R56" i="2"/>
  <c r="Q56" i="2"/>
  <c r="O62" i="2"/>
  <c r="J67" i="2"/>
  <c r="E228" i="2"/>
  <c r="Q50" i="8"/>
  <c r="E138" i="8" s="1"/>
  <c r="C50" i="4"/>
  <c r="X50" i="4" s="1"/>
  <c r="Y50" i="4" s="1"/>
  <c r="C13" i="5"/>
  <c r="U13" i="5" s="1"/>
  <c r="V13" i="5" s="1"/>
  <c r="C17" i="5"/>
  <c r="U17" i="5" s="1"/>
  <c r="V17" i="5" s="1"/>
  <c r="C21" i="5"/>
  <c r="U21" i="5" s="1"/>
  <c r="V21" i="5" s="1"/>
  <c r="C25" i="5"/>
  <c r="U25" i="5" s="1"/>
  <c r="V25" i="5" s="1"/>
  <c r="C29" i="5"/>
  <c r="U29" i="5" s="1"/>
  <c r="V29" i="5" s="1"/>
  <c r="C33" i="5"/>
  <c r="U33" i="5" s="1"/>
  <c r="V33" i="5" s="1"/>
  <c r="C37" i="5"/>
  <c r="U37" i="5" s="1"/>
  <c r="V37" i="5" s="1"/>
  <c r="C41" i="5"/>
  <c r="U41" i="5" s="1"/>
  <c r="V41" i="5" s="1"/>
  <c r="C45" i="5"/>
  <c r="U45" i="5" s="1"/>
  <c r="V45" i="5" s="1"/>
  <c r="C49" i="5"/>
  <c r="U49" i="5" s="1"/>
  <c r="V49" i="5" s="1"/>
  <c r="F138" i="8"/>
  <c r="C53" i="5"/>
  <c r="U53" i="5" s="1"/>
  <c r="V53" i="5" s="1"/>
  <c r="F142" i="8"/>
  <c r="F147" i="8" s="1"/>
  <c r="D54" i="8"/>
  <c r="L85" i="10" s="1"/>
  <c r="C57" i="5"/>
  <c r="U57" i="5" s="1"/>
  <c r="V57" i="5" s="1"/>
  <c r="M9" i="8"/>
  <c r="D9" i="8"/>
  <c r="L40" i="10" s="1"/>
  <c r="L40" i="11" s="1"/>
  <c r="Q10" i="8"/>
  <c r="C10" i="8" s="1"/>
  <c r="D14" i="8"/>
  <c r="L45" i="10" s="1"/>
  <c r="C15" i="8"/>
  <c r="M17" i="8"/>
  <c r="D17" i="8"/>
  <c r="L48" i="10" s="1"/>
  <c r="Q18" i="8"/>
  <c r="C18" i="8" s="1"/>
  <c r="J50" i="11"/>
  <c r="M50" i="10"/>
  <c r="D22" i="8"/>
  <c r="L53" i="10" s="1"/>
  <c r="C23" i="8"/>
  <c r="M25" i="8"/>
  <c r="D25" i="8"/>
  <c r="L56" i="10" s="1"/>
  <c r="Q26" i="8"/>
  <c r="C26" i="8" s="1"/>
  <c r="J58" i="11"/>
  <c r="M58" i="10"/>
  <c r="D30" i="8"/>
  <c r="L61" i="10" s="1"/>
  <c r="C31" i="8"/>
  <c r="M33" i="8"/>
  <c r="D33" i="8"/>
  <c r="L64" i="10" s="1"/>
  <c r="Q34" i="8"/>
  <c r="C34" i="8" s="1"/>
  <c r="C37" i="8"/>
  <c r="D42" i="8"/>
  <c r="L73" i="10" s="1"/>
  <c r="D48" i="8"/>
  <c r="L79" i="10" s="1"/>
  <c r="E50" i="8"/>
  <c r="D51" i="8"/>
  <c r="L82" i="10" s="1"/>
  <c r="D52" i="8"/>
  <c r="L83" i="10" s="1"/>
  <c r="I147" i="8"/>
  <c r="K147" i="8"/>
  <c r="N147" i="8"/>
  <c r="Q147" i="8"/>
  <c r="H31" i="11"/>
  <c r="F31" i="11" s="1"/>
  <c r="H30" i="11"/>
  <c r="F30" i="11" s="1"/>
  <c r="D37" i="14"/>
  <c r="F56" i="14"/>
  <c r="D56" i="14"/>
  <c r="G56" i="14" s="1"/>
  <c r="D60" i="14"/>
  <c r="J68" i="1"/>
  <c r="J76" i="1"/>
  <c r="D23" i="13"/>
  <c r="H23" i="13" s="1"/>
  <c r="C14" i="13"/>
  <c r="G14" i="13" s="1"/>
  <c r="D13" i="13"/>
  <c r="H13" i="13" s="1"/>
  <c r="C24" i="13"/>
  <c r="G24" i="13" s="1"/>
  <c r="N10" i="2"/>
  <c r="N11" i="2"/>
  <c r="C92" i="2"/>
  <c r="C93" i="2" s="1"/>
  <c r="C94" i="2" s="1"/>
  <c r="C95" i="2" s="1"/>
  <c r="C96" i="2" s="1"/>
  <c r="C97" i="2" s="1"/>
  <c r="C98" i="2" s="1"/>
  <c r="C99" i="2" s="1"/>
  <c r="D91" i="2"/>
  <c r="D92" i="2" s="1"/>
  <c r="D93" i="2" s="1"/>
  <c r="D94" i="2" s="1"/>
  <c r="D95" i="2" s="1"/>
  <c r="D96" i="2" s="1"/>
  <c r="D97" i="2" s="1"/>
  <c r="D98" i="2" s="1"/>
  <c r="D99" i="2" s="1"/>
  <c r="E233" i="2"/>
  <c r="J72" i="2"/>
  <c r="Q42" i="8"/>
  <c r="C42" i="4"/>
  <c r="X42" i="4" s="1"/>
  <c r="Y42" i="4" s="1"/>
  <c r="Q58" i="8"/>
  <c r="E146" i="8" s="1"/>
  <c r="C58" i="4"/>
  <c r="X58" i="4" s="1"/>
  <c r="Y58" i="4" s="1"/>
  <c r="F144" i="8"/>
  <c r="D56" i="8"/>
  <c r="L87" i="10" s="1"/>
  <c r="K41" i="10"/>
  <c r="I41" i="9"/>
  <c r="H41" i="9"/>
  <c r="L41" i="11"/>
  <c r="G41" i="9"/>
  <c r="J41" i="9"/>
  <c r="P45" i="10"/>
  <c r="C45" i="9" s="1"/>
  <c r="E45" i="9"/>
  <c r="D45" i="9"/>
  <c r="F45" i="9"/>
  <c r="I49" i="9"/>
  <c r="H49" i="9"/>
  <c r="G49" i="9"/>
  <c r="M21" i="8"/>
  <c r="D21" i="8"/>
  <c r="L52" i="10" s="1"/>
  <c r="E22" i="8"/>
  <c r="K57" i="10"/>
  <c r="I57" i="9"/>
  <c r="H57" i="9"/>
  <c r="G57" i="9"/>
  <c r="E61" i="9"/>
  <c r="D61" i="9"/>
  <c r="F61" i="9"/>
  <c r="P61" i="10"/>
  <c r="C61" i="9" s="1"/>
  <c r="M62" i="10"/>
  <c r="J66" i="9"/>
  <c r="I66" i="9"/>
  <c r="H66" i="9"/>
  <c r="G66" i="9"/>
  <c r="D36" i="8"/>
  <c r="L67" i="10" s="1"/>
  <c r="G81" i="11"/>
  <c r="F81" i="11" s="1"/>
  <c r="C50" i="8"/>
  <c r="E81" i="10" s="1"/>
  <c r="H50" i="14"/>
  <c r="J59" i="1"/>
  <c r="J42" i="1"/>
  <c r="F49" i="14"/>
  <c r="F53" i="14"/>
  <c r="C13" i="13"/>
  <c r="G13" i="13" s="1"/>
  <c r="D12" i="13"/>
  <c r="H12" i="13" s="1"/>
  <c r="J67" i="1"/>
  <c r="J71" i="1"/>
  <c r="J75" i="1"/>
  <c r="J88" i="1"/>
  <c r="E223" i="1"/>
  <c r="O57" i="2"/>
  <c r="S57" i="2" s="1"/>
  <c r="O58" i="2"/>
  <c r="Q58" i="2"/>
  <c r="P58" i="2"/>
  <c r="S58" i="2"/>
  <c r="O63" i="2"/>
  <c r="S68" i="2"/>
  <c r="O73" i="2"/>
  <c r="O74" i="2"/>
  <c r="Q74" i="2"/>
  <c r="Q75" i="2"/>
  <c r="P74" i="2"/>
  <c r="P75" i="2"/>
  <c r="S74" i="2"/>
  <c r="S75" i="2"/>
  <c r="O77" i="2"/>
  <c r="O78" i="2"/>
  <c r="Q78" i="2"/>
  <c r="Q79" i="2"/>
  <c r="P78" i="2"/>
  <c r="P79" i="2"/>
  <c r="S78" i="2"/>
  <c r="O81" i="2"/>
  <c r="S81" i="2" s="1"/>
  <c r="O82" i="2"/>
  <c r="Q82" i="2"/>
  <c r="D259" i="2"/>
  <c r="E259" i="2" s="1"/>
  <c r="Q83" i="2"/>
  <c r="P82" i="2"/>
  <c r="P83" i="2"/>
  <c r="S82" i="2"/>
  <c r="G147" i="2"/>
  <c r="G152" i="2" s="1"/>
  <c r="E91" i="2" s="1"/>
  <c r="F163" i="2"/>
  <c r="F169" i="2" s="1"/>
  <c r="G166" i="2"/>
  <c r="G169" i="2" s="1"/>
  <c r="G167" i="2"/>
  <c r="D214" i="2"/>
  <c r="I48" i="2"/>
  <c r="C7" i="4"/>
  <c r="C9" i="4"/>
  <c r="X9" i="4" s="1"/>
  <c r="Y9" i="4" s="1"/>
  <c r="D236" i="10"/>
  <c r="E236" i="10" s="1"/>
  <c r="X12" i="4"/>
  <c r="Y12" i="4" s="1"/>
  <c r="C23" i="4"/>
  <c r="X23" i="4" s="1"/>
  <c r="Y23" i="4" s="1"/>
  <c r="C25" i="4"/>
  <c r="X25" i="4" s="1"/>
  <c r="Y25" i="4" s="1"/>
  <c r="Q38" i="8"/>
  <c r="C38" i="4"/>
  <c r="X38" i="4" s="1"/>
  <c r="Y38" i="4" s="1"/>
  <c r="C39" i="4"/>
  <c r="X39" i="4" s="1"/>
  <c r="Y39" i="4" s="1"/>
  <c r="C41" i="4"/>
  <c r="X41" i="4" s="1"/>
  <c r="Y41" i="4" s="1"/>
  <c r="Q54" i="8"/>
  <c r="E142" i="8" s="1"/>
  <c r="C54" i="4"/>
  <c r="X54" i="4" s="1"/>
  <c r="Y54" i="4" s="1"/>
  <c r="C55" i="4"/>
  <c r="X55" i="4" s="1"/>
  <c r="Y55" i="4" s="1"/>
  <c r="C57" i="4"/>
  <c r="X57" i="4" s="1"/>
  <c r="Y57" i="4" s="1"/>
  <c r="C8" i="5"/>
  <c r="C12" i="5"/>
  <c r="C16" i="5"/>
  <c r="U16" i="5" s="1"/>
  <c r="V16" i="5" s="1"/>
  <c r="C20" i="5"/>
  <c r="U20" i="5" s="1"/>
  <c r="V20" i="5" s="1"/>
  <c r="C24" i="5"/>
  <c r="U24" i="5" s="1"/>
  <c r="V24" i="5" s="1"/>
  <c r="C28" i="5"/>
  <c r="U28" i="5" s="1"/>
  <c r="V28" i="5" s="1"/>
  <c r="C32" i="5"/>
  <c r="U32" i="5" s="1"/>
  <c r="V32" i="5" s="1"/>
  <c r="C36" i="5"/>
  <c r="U36" i="5" s="1"/>
  <c r="V36" i="5" s="1"/>
  <c r="H68" i="9"/>
  <c r="G68" i="9"/>
  <c r="J68" i="9"/>
  <c r="I68" i="9"/>
  <c r="C40" i="5"/>
  <c r="U40" i="5" s="1"/>
  <c r="V40" i="5" s="1"/>
  <c r="H72" i="9"/>
  <c r="G72" i="9"/>
  <c r="J72" i="9"/>
  <c r="I72" i="9"/>
  <c r="C44" i="5"/>
  <c r="U44" i="5" s="1"/>
  <c r="V44" i="5" s="1"/>
  <c r="D45" i="8"/>
  <c r="L76" i="10" s="1"/>
  <c r="C48" i="5"/>
  <c r="U48" i="5" s="1"/>
  <c r="V48" i="5" s="1"/>
  <c r="F137" i="8"/>
  <c r="D49" i="8"/>
  <c r="L80" i="10" s="1"/>
  <c r="C52" i="5"/>
  <c r="U52" i="5" s="1"/>
  <c r="V52" i="5" s="1"/>
  <c r="F141" i="8"/>
  <c r="D53" i="8"/>
  <c r="L84" i="10" s="1"/>
  <c r="P84" i="10" s="1"/>
  <c r="C84" i="9" s="1"/>
  <c r="C56" i="5"/>
  <c r="U56" i="5" s="1"/>
  <c r="V56" i="5" s="1"/>
  <c r="G147" i="8"/>
  <c r="M7" i="8"/>
  <c r="D7" i="8"/>
  <c r="L38" i="10" s="1"/>
  <c r="C8" i="8"/>
  <c r="D12" i="8"/>
  <c r="C13" i="8"/>
  <c r="M15" i="8"/>
  <c r="D15" i="8"/>
  <c r="L46" i="10" s="1"/>
  <c r="L46" i="11" s="1"/>
  <c r="C16" i="8"/>
  <c r="L48" i="11"/>
  <c r="J48" i="11"/>
  <c r="M48" i="10"/>
  <c r="D20" i="8"/>
  <c r="C21" i="8"/>
  <c r="M23" i="8"/>
  <c r="D23" i="8"/>
  <c r="L54" i="10" s="1"/>
  <c r="C24" i="8"/>
  <c r="J56" i="11"/>
  <c r="L56" i="11"/>
  <c r="M56" i="10"/>
  <c r="D28" i="8"/>
  <c r="C29" i="8"/>
  <c r="M31" i="8"/>
  <c r="D31" i="8"/>
  <c r="L62" i="10" s="1"/>
  <c r="L62" i="11" s="1"/>
  <c r="C32" i="8"/>
  <c r="J64" i="11"/>
  <c r="M64" i="10"/>
  <c r="D40" i="8"/>
  <c r="L71" i="10" s="1"/>
  <c r="D44" i="8"/>
  <c r="L75" i="10" s="1"/>
  <c r="E47" i="8"/>
  <c r="M47" i="8"/>
  <c r="C135" i="8" s="1"/>
  <c r="D135" i="8" s="1"/>
  <c r="P137" i="8"/>
  <c r="C52" i="8"/>
  <c r="E83" i="10" s="1"/>
  <c r="J83" i="11" s="1"/>
  <c r="D55" i="8"/>
  <c r="L86" i="10" s="1"/>
  <c r="F84" i="8"/>
  <c r="R57" i="2"/>
  <c r="Q68" i="2"/>
  <c r="R73" i="2"/>
  <c r="Q76" i="2"/>
  <c r="R77" i="2"/>
  <c r="Q80" i="2"/>
  <c r="R81" i="2"/>
  <c r="Q84" i="2"/>
  <c r="R85" i="2"/>
  <c r="Q86" i="2"/>
  <c r="G139" i="8"/>
  <c r="C35" i="8"/>
  <c r="E40" i="8"/>
  <c r="M71" i="10"/>
  <c r="C43" i="8"/>
  <c r="L79" i="11"/>
  <c r="M79" i="10"/>
  <c r="J136" i="8"/>
  <c r="M136" i="8"/>
  <c r="J137" i="8"/>
  <c r="M137" i="8"/>
  <c r="C51" i="8"/>
  <c r="M52" i="8"/>
  <c r="C140" i="8" s="1"/>
  <c r="D140" i="8" s="1"/>
  <c r="C141" i="8"/>
  <c r="D141" i="8" s="1"/>
  <c r="G85" i="8"/>
  <c r="R68" i="2"/>
  <c r="R76" i="2"/>
  <c r="S77" i="2"/>
  <c r="R80" i="2"/>
  <c r="R84" i="2"/>
  <c r="S85" i="2"/>
  <c r="D261" i="2"/>
  <c r="E261" i="2" s="1"/>
  <c r="F51" i="11"/>
  <c r="M55" i="10"/>
  <c r="L55" i="11"/>
  <c r="K57" i="11"/>
  <c r="M57" i="10"/>
  <c r="L57" i="11"/>
  <c r="J59" i="11"/>
  <c r="M59" i="10"/>
  <c r="J61" i="11"/>
  <c r="L61" i="11"/>
  <c r="M61" i="10"/>
  <c r="L63" i="11"/>
  <c r="M63" i="10"/>
  <c r="L65" i="11"/>
  <c r="K65" i="11"/>
  <c r="M65" i="10"/>
  <c r="L69" i="11"/>
  <c r="K69" i="11"/>
  <c r="M69" i="10"/>
  <c r="C40" i="8"/>
  <c r="E71" i="10" s="1"/>
  <c r="C41" i="8"/>
  <c r="E72" i="10" s="1"/>
  <c r="E46" i="8"/>
  <c r="L77" i="11"/>
  <c r="K77" i="11"/>
  <c r="M77" i="10"/>
  <c r="J135" i="8"/>
  <c r="M135" i="8"/>
  <c r="C48" i="8"/>
  <c r="E79" i="10" s="1"/>
  <c r="I136" i="8"/>
  <c r="K136" i="8"/>
  <c r="N136" i="8"/>
  <c r="Q136" i="8"/>
  <c r="C49" i="8"/>
  <c r="E80" i="10" s="1"/>
  <c r="I137" i="8"/>
  <c r="K137" i="8"/>
  <c r="N137" i="8"/>
  <c r="Q137" i="8"/>
  <c r="M50" i="8"/>
  <c r="C138" i="8" s="1"/>
  <c r="D138" i="8" s="1"/>
  <c r="C139" i="8"/>
  <c r="D139" i="8" s="1"/>
  <c r="M54" i="8"/>
  <c r="C142" i="8" s="1"/>
  <c r="C54" i="8"/>
  <c r="E85" i="10" s="1"/>
  <c r="E56" i="8"/>
  <c r="C125" i="12" s="1"/>
  <c r="M56" i="8"/>
  <c r="C144" i="8" s="1"/>
  <c r="D144" i="8" s="1"/>
  <c r="C56" i="8"/>
  <c r="E87" i="10" s="1"/>
  <c r="C146" i="8"/>
  <c r="D146" i="8" s="1"/>
  <c r="M58" i="8"/>
  <c r="H101" i="8" s="1"/>
  <c r="H84" i="8"/>
  <c r="I84" i="8"/>
  <c r="K85" i="8"/>
  <c r="J84" i="8"/>
  <c r="C207" i="10"/>
  <c r="C20" i="13"/>
  <c r="G20" i="13" s="1"/>
  <c r="D19" i="13"/>
  <c r="H19" i="13" s="1"/>
  <c r="K19" i="13" s="1"/>
  <c r="D10" i="13"/>
  <c r="H10" i="13" s="1"/>
  <c r="K10" i="13" s="1"/>
  <c r="C11" i="13"/>
  <c r="G11" i="13" s="1"/>
  <c r="C21" i="13"/>
  <c r="G21" i="13" s="1"/>
  <c r="D20" i="13"/>
  <c r="C26" i="13"/>
  <c r="G26" i="13" s="1"/>
  <c r="D25" i="13"/>
  <c r="N12" i="2"/>
  <c r="F91" i="2"/>
  <c r="E36" i="8"/>
  <c r="J67" i="11"/>
  <c r="I67" i="11"/>
  <c r="L67" i="11"/>
  <c r="M67" i="10"/>
  <c r="C38" i="8"/>
  <c r="E69" i="10" s="1"/>
  <c r="C39" i="8"/>
  <c r="E70" i="10" s="1"/>
  <c r="M40" i="8"/>
  <c r="E44" i="8"/>
  <c r="J75" i="11"/>
  <c r="L75" i="11"/>
  <c r="M75" i="10"/>
  <c r="C46" i="8"/>
  <c r="E77" i="10" s="1"/>
  <c r="C47" i="8"/>
  <c r="E78" i="10" s="1"/>
  <c r="I135" i="8"/>
  <c r="K135" i="8"/>
  <c r="N135" i="8"/>
  <c r="Q135" i="8"/>
  <c r="M48" i="8"/>
  <c r="C136" i="8" s="1"/>
  <c r="D136" i="8" s="1"/>
  <c r="O136" i="8"/>
  <c r="R136" i="8"/>
  <c r="C137" i="8"/>
  <c r="D137" i="8" s="1"/>
  <c r="O137" i="8"/>
  <c r="R137" i="8"/>
  <c r="L83" i="11"/>
  <c r="M83" i="10"/>
  <c r="J140" i="8"/>
  <c r="M140" i="8"/>
  <c r="J141" i="8"/>
  <c r="M141" i="8"/>
  <c r="J147" i="8"/>
  <c r="C55" i="8"/>
  <c r="E86" i="10" s="1"/>
  <c r="C143" i="8"/>
  <c r="D143" i="8" s="1"/>
  <c r="J143" i="8"/>
  <c r="M143" i="8"/>
  <c r="M147" i="8" s="1"/>
  <c r="C57" i="8"/>
  <c r="E88" i="10" s="1"/>
  <c r="J145" i="8"/>
  <c r="M145" i="8"/>
  <c r="E84" i="8"/>
  <c r="D83" i="8"/>
  <c r="G102" i="8"/>
  <c r="Y69" i="8"/>
  <c r="AG69" i="8" s="1"/>
  <c r="M36" i="10"/>
  <c r="J85" i="11"/>
  <c r="L85" i="11"/>
  <c r="M85" i="10"/>
  <c r="M55" i="8"/>
  <c r="J87" i="11"/>
  <c r="L87" i="11"/>
  <c r="M87" i="10"/>
  <c r="M57" i="8"/>
  <c r="C145" i="8" s="1"/>
  <c r="D145" i="8" s="1"/>
  <c r="M89" i="10"/>
  <c r="AB69" i="8"/>
  <c r="E101" i="8"/>
  <c r="R148" i="8"/>
  <c r="C126" i="11"/>
  <c r="D126" i="11" s="1"/>
  <c r="D131" i="11" s="1"/>
  <c r="B91" i="11" s="1"/>
  <c r="I91" i="10" s="1"/>
  <c r="G91" i="10" s="1"/>
  <c r="N91" i="10" s="1"/>
  <c r="G256" i="10"/>
  <c r="C128" i="11"/>
  <c r="D128" i="11" s="1"/>
  <c r="G258" i="10"/>
  <c r="C130" i="11"/>
  <c r="D130" i="11" s="1"/>
  <c r="G260" i="10"/>
  <c r="H39" i="11"/>
  <c r="F39" i="11" s="1"/>
  <c r="H38" i="11"/>
  <c r="F38" i="11" s="1"/>
  <c r="F125" i="12"/>
  <c r="F127" i="12"/>
  <c r="D94" i="10"/>
  <c r="J192" i="10"/>
  <c r="M192" i="10"/>
  <c r="G228" i="10"/>
  <c r="H232" i="10"/>
  <c r="G233" i="10"/>
  <c r="F68" i="11"/>
  <c r="F70" i="11"/>
  <c r="F76" i="11"/>
  <c r="F78" i="11"/>
  <c r="F84" i="11"/>
  <c r="F86" i="11"/>
  <c r="X69" i="8"/>
  <c r="H23" i="11"/>
  <c r="F23" i="11" s="1"/>
  <c r="H22" i="11"/>
  <c r="F22" i="11" s="1"/>
  <c r="M28" i="10"/>
  <c r="C93" i="10"/>
  <c r="I187" i="10"/>
  <c r="I186" i="10" s="1"/>
  <c r="C218" i="10"/>
  <c r="M27" i="10"/>
  <c r="M35" i="10"/>
  <c r="J43" i="11"/>
  <c r="M43" i="10"/>
  <c r="G61" i="12"/>
  <c r="J189" i="12"/>
  <c r="H64" i="12"/>
  <c r="K64" i="12" s="1"/>
  <c r="M64" i="12" s="1"/>
  <c r="F205" i="12"/>
  <c r="E205" i="12"/>
  <c r="F206" i="12"/>
  <c r="E206" i="12"/>
  <c r="F207" i="12"/>
  <c r="E207" i="12"/>
  <c r="F208" i="12"/>
  <c r="E208" i="12"/>
  <c r="F209" i="12"/>
  <c r="E209" i="12"/>
  <c r="F210" i="12"/>
  <c r="E210" i="12"/>
  <c r="J188" i="10"/>
  <c r="M188" i="10"/>
  <c r="I189" i="10"/>
  <c r="H206" i="10"/>
  <c r="G207" i="10"/>
  <c r="C233" i="10"/>
  <c r="C127" i="11"/>
  <c r="D127" i="11" s="1"/>
  <c r="G257" i="10"/>
  <c r="C129" i="11"/>
  <c r="D129" i="11" s="1"/>
  <c r="G259" i="10"/>
  <c r="J90" i="14"/>
  <c r="B91" i="12"/>
  <c r="B92" i="10"/>
  <c r="H91" i="10"/>
  <c r="J186" i="10"/>
  <c r="J190" i="10"/>
  <c r="M190" i="10"/>
  <c r="I191" i="10"/>
  <c r="H217" i="10"/>
  <c r="G218" i="10"/>
  <c r="H256" i="10"/>
  <c r="H261" i="10" s="1"/>
  <c r="K41" i="11"/>
  <c r="C195" i="10"/>
  <c r="H45" i="11"/>
  <c r="F45" i="11" s="1"/>
  <c r="H47" i="11"/>
  <c r="F47" i="11" s="1"/>
  <c r="H49" i="11"/>
  <c r="K49" i="10" s="1"/>
  <c r="H51" i="11"/>
  <c r="H53" i="11"/>
  <c r="F53" i="11" s="1"/>
  <c r="H66" i="11"/>
  <c r="K66" i="10" s="1"/>
  <c r="H68" i="11"/>
  <c r="K68" i="10" s="1"/>
  <c r="H70" i="11"/>
  <c r="H72" i="11"/>
  <c r="K72" i="10" s="1"/>
  <c r="H74" i="11"/>
  <c r="K74" i="10" s="1"/>
  <c r="H76" i="11"/>
  <c r="H78" i="11"/>
  <c r="H80" i="11"/>
  <c r="F80" i="11" s="1"/>
  <c r="H82" i="11"/>
  <c r="F82" i="11" s="1"/>
  <c r="H84" i="11"/>
  <c r="H86" i="11"/>
  <c r="H88" i="11"/>
  <c r="G251" i="10"/>
  <c r="G261" i="10" s="1"/>
  <c r="M60" i="14"/>
  <c r="L60" i="14"/>
  <c r="D214" i="12"/>
  <c r="N94" i="12"/>
  <c r="I212" i="12"/>
  <c r="L17" i="13"/>
  <c r="K65" i="12"/>
  <c r="M65" i="12" s="1"/>
  <c r="K73" i="12"/>
  <c r="M73" i="12" s="1"/>
  <c r="K81" i="12"/>
  <c r="M81" i="12" s="1"/>
  <c r="K89" i="12"/>
  <c r="M89" i="12" s="1"/>
  <c r="E155" i="12"/>
  <c r="F93" i="12"/>
  <c r="L8" i="13"/>
  <c r="N10" i="13"/>
  <c r="D212" i="12"/>
  <c r="O91" i="12"/>
  <c r="O92" i="12" s="1"/>
  <c r="O93" i="12" s="1"/>
  <c r="O94" i="12" s="1"/>
  <c r="D213" i="12"/>
  <c r="L9" i="13"/>
  <c r="N14" i="13"/>
  <c r="L18" i="13"/>
  <c r="L20" i="13"/>
  <c r="J29" i="13"/>
  <c r="L92" i="12"/>
  <c r="G154" i="12"/>
  <c r="J205" i="12"/>
  <c r="J206" i="12"/>
  <c r="J207" i="12"/>
  <c r="J208" i="12"/>
  <c r="J209" i="12"/>
  <c r="J210" i="12"/>
  <c r="N11" i="13"/>
  <c r="N21" i="13"/>
  <c r="N22" i="13"/>
  <c r="E9" i="14"/>
  <c r="E13" i="14"/>
  <c r="E12" i="14"/>
  <c r="E14" i="14"/>
  <c r="E22" i="14"/>
  <c r="E33" i="14"/>
  <c r="E53" i="14"/>
  <c r="D53" i="14"/>
  <c r="G53" i="14" s="1"/>
  <c r="E54" i="14"/>
  <c r="H54" i="14" s="1"/>
  <c r="E11" i="14"/>
  <c r="E15" i="14"/>
  <c r="E23" i="14"/>
  <c r="E35" i="14"/>
  <c r="E36" i="14"/>
  <c r="D38" i="14"/>
  <c r="G38" i="14" s="1"/>
  <c r="E38" i="14"/>
  <c r="D50" i="14"/>
  <c r="L24" i="13"/>
  <c r="L31" i="13"/>
  <c r="E18" i="14"/>
  <c r="E26" i="14"/>
  <c r="E30" i="14"/>
  <c r="E34" i="14"/>
  <c r="M44" i="14"/>
  <c r="L44" i="14"/>
  <c r="E16" i="14"/>
  <c r="E20" i="14"/>
  <c r="E24" i="14"/>
  <c r="E41" i="14"/>
  <c r="H41" i="14" s="1"/>
  <c r="D41" i="14"/>
  <c r="G41" i="14" s="1"/>
  <c r="I41" i="14" s="1"/>
  <c r="M45" i="14"/>
  <c r="M48" i="14"/>
  <c r="L48" i="14"/>
  <c r="D54" i="14"/>
  <c r="G54" i="14" s="1"/>
  <c r="I54" i="14" s="1"/>
  <c r="E57" i="14"/>
  <c r="M61" i="14"/>
  <c r="M64" i="14"/>
  <c r="L64" i="14"/>
  <c r="E68" i="14"/>
  <c r="E72" i="14"/>
  <c r="E73" i="14"/>
  <c r="E29" i="14"/>
  <c r="E45" i="14"/>
  <c r="H45" i="14" s="1"/>
  <c r="D45" i="14"/>
  <c r="G45" i="14" s="1"/>
  <c r="I45" i="14" s="1"/>
  <c r="M52" i="14"/>
  <c r="L52" i="14"/>
  <c r="D58" i="14"/>
  <c r="E61" i="14"/>
  <c r="E70" i="14"/>
  <c r="E69" i="14"/>
  <c r="D85" i="14"/>
  <c r="E88" i="14"/>
  <c r="E89" i="14"/>
  <c r="L38" i="14"/>
  <c r="M39" i="14"/>
  <c r="M40" i="14"/>
  <c r="L40" i="14"/>
  <c r="D46" i="14"/>
  <c r="E49" i="14"/>
  <c r="D49" i="14"/>
  <c r="G49" i="14" s="1"/>
  <c r="M53" i="14"/>
  <c r="M56" i="14"/>
  <c r="L56" i="14"/>
  <c r="D62" i="14"/>
  <c r="M67" i="14"/>
  <c r="L67" i="14"/>
  <c r="M79" i="14"/>
  <c r="L79" i="14"/>
  <c r="E43" i="14"/>
  <c r="M43" i="14"/>
  <c r="E47" i="14"/>
  <c r="M47" i="14"/>
  <c r="E51" i="14"/>
  <c r="M51" i="14"/>
  <c r="E55" i="14"/>
  <c r="M55" i="14"/>
  <c r="E59" i="14"/>
  <c r="M59" i="14"/>
  <c r="E63" i="14"/>
  <c r="M63" i="14"/>
  <c r="E76" i="14"/>
  <c r="M80" i="14"/>
  <c r="M83" i="14"/>
  <c r="L83" i="14"/>
  <c r="L41" i="14"/>
  <c r="L45" i="14"/>
  <c r="L49" i="14"/>
  <c r="L53" i="14"/>
  <c r="L57" i="14"/>
  <c r="L61" i="14"/>
  <c r="L65" i="14"/>
  <c r="D66" i="14"/>
  <c r="M66" i="14"/>
  <c r="M68" i="14"/>
  <c r="L68" i="14"/>
  <c r="M71" i="14"/>
  <c r="L71" i="14"/>
  <c r="D77" i="14"/>
  <c r="E80" i="14"/>
  <c r="M84" i="14"/>
  <c r="M87" i="14"/>
  <c r="L87" i="14"/>
  <c r="M65" i="14"/>
  <c r="E66" i="14"/>
  <c r="M72" i="14"/>
  <c r="M75" i="14"/>
  <c r="L75" i="14"/>
  <c r="E77" i="14"/>
  <c r="D81" i="14"/>
  <c r="E84" i="14"/>
  <c r="M88" i="14"/>
  <c r="M70" i="14"/>
  <c r="E74" i="14"/>
  <c r="M74" i="14"/>
  <c r="E78" i="14"/>
  <c r="M78" i="14"/>
  <c r="E82" i="14"/>
  <c r="M82" i="14"/>
  <c r="E86" i="14"/>
  <c r="M86" i="14"/>
  <c r="L72" i="14"/>
  <c r="L76" i="14"/>
  <c r="L80" i="14"/>
  <c r="L84" i="14"/>
  <c r="L88" i="14"/>
  <c r="L82" i="11" l="1"/>
  <c r="M82" i="10"/>
  <c r="L47" i="11"/>
  <c r="J47" i="11"/>
  <c r="M47" i="10"/>
  <c r="E49" i="10"/>
  <c r="E18" i="8"/>
  <c r="J80" i="11"/>
  <c r="L80" i="11"/>
  <c r="I80" i="11"/>
  <c r="M80" i="10"/>
  <c r="L45" i="11"/>
  <c r="J45" i="11"/>
  <c r="I45" i="11"/>
  <c r="M45" i="10"/>
  <c r="C147" i="8"/>
  <c r="D147" i="8" s="1"/>
  <c r="D142" i="8"/>
  <c r="E92" i="2"/>
  <c r="M91" i="2"/>
  <c r="E57" i="10"/>
  <c r="E26" i="8"/>
  <c r="E41" i="10"/>
  <c r="E10" i="8"/>
  <c r="L53" i="11"/>
  <c r="J53" i="11"/>
  <c r="M53" i="10"/>
  <c r="E65" i="10"/>
  <c r="E34" i="8"/>
  <c r="L29" i="13"/>
  <c r="I30" i="13"/>
  <c r="H207" i="10"/>
  <c r="G208" i="10"/>
  <c r="E212" i="12"/>
  <c r="J78" i="11"/>
  <c r="L78" i="11"/>
  <c r="I78" i="11"/>
  <c r="M78" i="10"/>
  <c r="E38" i="8"/>
  <c r="K71" i="10"/>
  <c r="K71" i="11" s="1"/>
  <c r="G71" i="9"/>
  <c r="J71" i="9"/>
  <c r="I71" i="9"/>
  <c r="H71" i="9"/>
  <c r="J38" i="9"/>
  <c r="K38" i="10"/>
  <c r="I38" i="9"/>
  <c r="H38" i="9"/>
  <c r="G38" i="9"/>
  <c r="C59" i="14"/>
  <c r="J81" i="11"/>
  <c r="L81" i="11"/>
  <c r="M81" i="10"/>
  <c r="J71" i="2"/>
  <c r="E232" i="2"/>
  <c r="K13" i="13"/>
  <c r="K82" i="10"/>
  <c r="K82" i="11" s="1"/>
  <c r="J82" i="9"/>
  <c r="I82" i="9"/>
  <c r="H82" i="9"/>
  <c r="G82" i="9"/>
  <c r="H64" i="9"/>
  <c r="K64" i="10"/>
  <c r="K64" i="11" s="1"/>
  <c r="G64" i="9"/>
  <c r="J64" i="9"/>
  <c r="I64" i="9"/>
  <c r="E46" i="10"/>
  <c r="E15" i="8"/>
  <c r="E227" i="2"/>
  <c r="J66" i="2"/>
  <c r="P73" i="10"/>
  <c r="C73" i="9" s="1"/>
  <c r="E73" i="9"/>
  <c r="D73" i="9"/>
  <c r="F73" i="9"/>
  <c r="J42" i="9"/>
  <c r="K42" i="10"/>
  <c r="K42" i="11" s="1"/>
  <c r="I42" i="9"/>
  <c r="H42" i="9"/>
  <c r="G42" i="9"/>
  <c r="C73" i="14"/>
  <c r="H87" i="14"/>
  <c r="H78" i="14"/>
  <c r="B91" i="14"/>
  <c r="L91" i="1"/>
  <c r="G50" i="14"/>
  <c r="I50" i="14" s="1"/>
  <c r="J91" i="10"/>
  <c r="O91" i="10" s="1"/>
  <c r="C234" i="10"/>
  <c r="G60" i="12"/>
  <c r="C219" i="10"/>
  <c r="M23" i="10"/>
  <c r="J84" i="11"/>
  <c r="L84" i="11"/>
  <c r="I84" i="11"/>
  <c r="M84" i="10"/>
  <c r="J76" i="11"/>
  <c r="L76" i="11"/>
  <c r="M76" i="10"/>
  <c r="L68" i="11"/>
  <c r="K68" i="11"/>
  <c r="M68" i="10"/>
  <c r="D29" i="13"/>
  <c r="H20" i="13"/>
  <c r="O10" i="13"/>
  <c r="M10" i="13"/>
  <c r="H85" i="8"/>
  <c r="P72" i="10"/>
  <c r="C72" i="9" s="1"/>
  <c r="D72" i="9"/>
  <c r="F72" i="9"/>
  <c r="E72" i="9"/>
  <c r="F49" i="11"/>
  <c r="E48" i="8"/>
  <c r="L71" i="11"/>
  <c r="E66" i="10"/>
  <c r="E35" i="8"/>
  <c r="F85" i="8"/>
  <c r="K75" i="10"/>
  <c r="K75" i="11" s="1"/>
  <c r="G75" i="9"/>
  <c r="J75" i="9"/>
  <c r="I75" i="9"/>
  <c r="H75" i="9"/>
  <c r="E60" i="10"/>
  <c r="E29" i="8"/>
  <c r="J54" i="9"/>
  <c r="I54" i="9"/>
  <c r="K54" i="10"/>
  <c r="K54" i="11" s="1"/>
  <c r="H54" i="9"/>
  <c r="G54" i="9"/>
  <c r="E44" i="10"/>
  <c r="E13" i="8"/>
  <c r="H236" i="10"/>
  <c r="I236" i="10" s="1"/>
  <c r="U12" i="5"/>
  <c r="V12" i="5" s="1"/>
  <c r="I49" i="2"/>
  <c r="E267" i="2"/>
  <c r="C67" i="14"/>
  <c r="I49" i="14"/>
  <c r="H49" i="14"/>
  <c r="K67" i="10"/>
  <c r="K67" i="11" s="1"/>
  <c r="G67" i="9"/>
  <c r="J67" i="9"/>
  <c r="I67" i="9"/>
  <c r="H67" i="9"/>
  <c r="K52" i="10"/>
  <c r="K52" i="11" s="1"/>
  <c r="H52" i="9"/>
  <c r="G52" i="9"/>
  <c r="J52" i="9"/>
  <c r="I52" i="9"/>
  <c r="K87" i="10"/>
  <c r="K87" i="11" s="1"/>
  <c r="G87" i="9"/>
  <c r="J87" i="9"/>
  <c r="I87" i="9"/>
  <c r="H87" i="9"/>
  <c r="C68" i="14"/>
  <c r="I56" i="14"/>
  <c r="H56" i="14"/>
  <c r="M30" i="10"/>
  <c r="E68" i="10"/>
  <c r="E37" i="8"/>
  <c r="E54" i="10"/>
  <c r="E23" i="8"/>
  <c r="K45" i="10"/>
  <c r="K45" i="11" s="1"/>
  <c r="I45" i="9"/>
  <c r="H45" i="9"/>
  <c r="G45" i="9"/>
  <c r="J45" i="9"/>
  <c r="R67" i="2"/>
  <c r="Q67" i="2"/>
  <c r="P67" i="2"/>
  <c r="S67" i="2"/>
  <c r="P68" i="2"/>
  <c r="B92" i="2"/>
  <c r="K92" i="2" s="1"/>
  <c r="G180" i="2"/>
  <c r="G86" i="14"/>
  <c r="N24" i="13"/>
  <c r="K24" i="13"/>
  <c r="C79" i="14"/>
  <c r="C63" i="14"/>
  <c r="D75" i="9"/>
  <c r="P58" i="10"/>
  <c r="F58" i="9"/>
  <c r="E58" i="9"/>
  <c r="D58" i="9"/>
  <c r="C72" i="14"/>
  <c r="G52" i="14"/>
  <c r="K81" i="10"/>
  <c r="K81" i="11" s="1"/>
  <c r="I81" i="9"/>
  <c r="H81" i="9"/>
  <c r="G81" i="9"/>
  <c r="J81" i="9"/>
  <c r="J73" i="11"/>
  <c r="L73" i="11"/>
  <c r="M73" i="10"/>
  <c r="L92" i="2"/>
  <c r="O22" i="13"/>
  <c r="M22" i="13"/>
  <c r="H55" i="14"/>
  <c r="I51" i="14"/>
  <c r="H51" i="14"/>
  <c r="I47" i="14"/>
  <c r="H47" i="14"/>
  <c r="E53" i="8"/>
  <c r="E19" i="8"/>
  <c r="H7" i="2"/>
  <c r="N8" i="2" s="1"/>
  <c r="H46" i="14"/>
  <c r="H38" i="14"/>
  <c r="I38" i="14"/>
  <c r="F38" i="9"/>
  <c r="P38" i="10"/>
  <c r="C38" i="9" s="1"/>
  <c r="E38" i="9"/>
  <c r="D38" i="9"/>
  <c r="E25" i="8"/>
  <c r="E17" i="8"/>
  <c r="G92" i="1"/>
  <c r="K92" i="1" s="1"/>
  <c r="G227" i="1"/>
  <c r="H92" i="1" s="1"/>
  <c r="F228" i="1"/>
  <c r="E9" i="8"/>
  <c r="F77" i="14"/>
  <c r="M186" i="10"/>
  <c r="J185" i="10"/>
  <c r="P69" i="10"/>
  <c r="E69" i="9"/>
  <c r="D69" i="9"/>
  <c r="F69" i="9"/>
  <c r="L51" i="11"/>
  <c r="J51" i="11"/>
  <c r="M51" i="10"/>
  <c r="P83" i="10"/>
  <c r="F83" i="9"/>
  <c r="E83" i="9"/>
  <c r="D83" i="9"/>
  <c r="L51" i="10"/>
  <c r="E20" i="8"/>
  <c r="D235" i="10"/>
  <c r="E235" i="10" s="1"/>
  <c r="X7" i="4"/>
  <c r="Y7" i="4" s="1"/>
  <c r="C88" i="14"/>
  <c r="K73" i="10"/>
  <c r="K73" i="11" s="1"/>
  <c r="I73" i="9"/>
  <c r="H73" i="9"/>
  <c r="G73" i="9"/>
  <c r="J73" i="9"/>
  <c r="H40" i="9"/>
  <c r="I40" i="9"/>
  <c r="G40" i="9"/>
  <c r="J40" i="9"/>
  <c r="K40" i="10"/>
  <c r="K40" i="11" s="1"/>
  <c r="N13" i="13"/>
  <c r="J91" i="14"/>
  <c r="F92" i="10"/>
  <c r="B93" i="10"/>
  <c r="H92" i="10"/>
  <c r="C94" i="10"/>
  <c r="F74" i="11"/>
  <c r="F66" i="11"/>
  <c r="G229" i="10"/>
  <c r="H229" i="10" s="1"/>
  <c r="H228" i="10"/>
  <c r="E102" i="8"/>
  <c r="D101" i="8"/>
  <c r="D84" i="8"/>
  <c r="E85" i="8"/>
  <c r="P88" i="10"/>
  <c r="C88" i="9" s="1"/>
  <c r="D88" i="9"/>
  <c r="F88" i="9"/>
  <c r="E88" i="9"/>
  <c r="P86" i="10"/>
  <c r="C86" i="9" s="1"/>
  <c r="F86" i="9"/>
  <c r="E86" i="9"/>
  <c r="D86" i="9"/>
  <c r="E52" i="8"/>
  <c r="P78" i="10"/>
  <c r="C78" i="9" s="1"/>
  <c r="F78" i="9"/>
  <c r="E78" i="9"/>
  <c r="D78" i="9"/>
  <c r="H25" i="13"/>
  <c r="D31" i="13"/>
  <c r="H31" i="13" s="1"/>
  <c r="M19" i="13"/>
  <c r="C208" i="10"/>
  <c r="J85" i="8"/>
  <c r="C58" i="8"/>
  <c r="E57" i="8"/>
  <c r="C126" i="12" s="1"/>
  <c r="E126" i="12" s="1"/>
  <c r="P71" i="10"/>
  <c r="F71" i="9"/>
  <c r="E71" i="9"/>
  <c r="D71" i="9"/>
  <c r="I61" i="11"/>
  <c r="E74" i="10"/>
  <c r="E43" i="8"/>
  <c r="E42" i="8"/>
  <c r="E63" i="10"/>
  <c r="E32" i="8"/>
  <c r="L59" i="10"/>
  <c r="E28" i="8"/>
  <c r="E47" i="10"/>
  <c r="E16" i="8"/>
  <c r="L43" i="10"/>
  <c r="E12" i="8"/>
  <c r="K76" i="10"/>
  <c r="K76" i="11" s="1"/>
  <c r="H76" i="9"/>
  <c r="G76" i="9"/>
  <c r="J76" i="9"/>
  <c r="I76" i="9"/>
  <c r="E147" i="8"/>
  <c r="I43" i="2"/>
  <c r="D213" i="2"/>
  <c r="I38" i="2" s="1"/>
  <c r="C71" i="14"/>
  <c r="C42" i="14"/>
  <c r="K23" i="13"/>
  <c r="N23" i="13"/>
  <c r="M31" i="10"/>
  <c r="E49" i="8"/>
  <c r="E62" i="10"/>
  <c r="E31" i="8"/>
  <c r="K53" i="10"/>
  <c r="K53" i="11" s="1"/>
  <c r="I53" i="9"/>
  <c r="H53" i="9"/>
  <c r="G53" i="9"/>
  <c r="J53" i="9"/>
  <c r="H48" i="9"/>
  <c r="K48" i="10"/>
  <c r="K48" i="11" s="1"/>
  <c r="G48" i="9"/>
  <c r="J48" i="9"/>
  <c r="I48" i="9"/>
  <c r="K14" i="13"/>
  <c r="I86" i="14"/>
  <c r="H86" i="14"/>
  <c r="C70" i="14"/>
  <c r="C61" i="14"/>
  <c r="C43" i="14"/>
  <c r="P75" i="10"/>
  <c r="H60" i="9"/>
  <c r="G60" i="9"/>
  <c r="J60" i="9"/>
  <c r="I60" i="9"/>
  <c r="K60" i="10"/>
  <c r="K60" i="11" s="1"/>
  <c r="I52" i="14"/>
  <c r="H52" i="14"/>
  <c r="D67" i="9"/>
  <c r="K63" i="10"/>
  <c r="K63" i="11" s="1"/>
  <c r="G63" i="9"/>
  <c r="J63" i="9"/>
  <c r="I63" i="9"/>
  <c r="H63" i="9"/>
  <c r="L60" i="11"/>
  <c r="K55" i="10"/>
  <c r="K55" i="11" s="1"/>
  <c r="G55" i="9"/>
  <c r="J55" i="9"/>
  <c r="I55" i="9"/>
  <c r="H55" i="9"/>
  <c r="K47" i="10"/>
  <c r="K47" i="11" s="1"/>
  <c r="G47" i="9"/>
  <c r="J47" i="9"/>
  <c r="I47" i="9"/>
  <c r="H47" i="9"/>
  <c r="G39" i="9"/>
  <c r="K39" i="10"/>
  <c r="K39" i="11" s="1"/>
  <c r="J39" i="9"/>
  <c r="I39" i="9"/>
  <c r="H39" i="9"/>
  <c r="B90" i="14"/>
  <c r="L90" i="1"/>
  <c r="G82" i="14"/>
  <c r="C69" i="14"/>
  <c r="E39" i="8"/>
  <c r="F50" i="9"/>
  <c r="E50" i="9"/>
  <c r="D50" i="9"/>
  <c r="P50" i="10"/>
  <c r="E201" i="1"/>
  <c r="F200" i="1"/>
  <c r="B89" i="1" s="1"/>
  <c r="F83" i="14"/>
  <c r="D83" i="14"/>
  <c r="G83" i="14" s="1"/>
  <c r="E33" i="8"/>
  <c r="K78" i="10"/>
  <c r="K78" i="11" s="1"/>
  <c r="J78" i="9"/>
  <c r="I78" i="9"/>
  <c r="H78" i="9"/>
  <c r="G78" i="9"/>
  <c r="P56" i="10"/>
  <c r="D56" i="9"/>
  <c r="F56" i="9"/>
  <c r="E56" i="9"/>
  <c r="P48" i="10"/>
  <c r="D48" i="9"/>
  <c r="F48" i="9"/>
  <c r="E48" i="9"/>
  <c r="P40" i="10"/>
  <c r="D40" i="9"/>
  <c r="J40" i="11"/>
  <c r="F40" i="9"/>
  <c r="E40" i="9"/>
  <c r="F132" i="1"/>
  <c r="B35" i="1" s="1"/>
  <c r="E131" i="1"/>
  <c r="D215" i="12"/>
  <c r="N95" i="12"/>
  <c r="N186" i="10"/>
  <c r="I185" i="10"/>
  <c r="K186" i="10"/>
  <c r="L186" i="10" s="1"/>
  <c r="M22" i="10"/>
  <c r="J86" i="11"/>
  <c r="L86" i="11"/>
  <c r="I86" i="11"/>
  <c r="M86" i="10"/>
  <c r="J70" i="11"/>
  <c r="L70" i="11"/>
  <c r="K70" i="11"/>
  <c r="M70" i="10"/>
  <c r="L39" i="11"/>
  <c r="J39" i="11"/>
  <c r="M39" i="10"/>
  <c r="K86" i="8"/>
  <c r="P85" i="10"/>
  <c r="E85" i="9"/>
  <c r="D85" i="9"/>
  <c r="F85" i="9"/>
  <c r="F79" i="9"/>
  <c r="P79" i="10"/>
  <c r="E79" i="9"/>
  <c r="D79" i="9"/>
  <c r="E268" i="2"/>
  <c r="F268" i="2" s="1"/>
  <c r="J91" i="2" s="1"/>
  <c r="J79" i="11"/>
  <c r="E55" i="10"/>
  <c r="E24" i="8"/>
  <c r="H84" i="9"/>
  <c r="G84" i="9"/>
  <c r="K84" i="10"/>
  <c r="K84" i="11" s="1"/>
  <c r="J84" i="9"/>
  <c r="I84" i="9"/>
  <c r="J48" i="2"/>
  <c r="E214" i="2"/>
  <c r="C65" i="14"/>
  <c r="F42" i="9"/>
  <c r="P42" i="10"/>
  <c r="E42" i="9"/>
  <c r="J42" i="11"/>
  <c r="D42" i="9"/>
  <c r="H48" i="14"/>
  <c r="H88" i="9"/>
  <c r="K88" i="10"/>
  <c r="G88" i="9"/>
  <c r="J88" i="9"/>
  <c r="I88" i="9"/>
  <c r="J58" i="9"/>
  <c r="I58" i="9"/>
  <c r="K58" i="10"/>
  <c r="K58" i="11" s="1"/>
  <c r="H58" i="9"/>
  <c r="G58" i="9"/>
  <c r="J50" i="9"/>
  <c r="I50" i="9"/>
  <c r="H50" i="9"/>
  <c r="K50" i="10"/>
  <c r="K50" i="11" s="1"/>
  <c r="G50" i="9"/>
  <c r="K89" i="10"/>
  <c r="K89" i="11" s="1"/>
  <c r="I89" i="9"/>
  <c r="H89" i="9"/>
  <c r="G89" i="9"/>
  <c r="J89" i="9"/>
  <c r="H124" i="2"/>
  <c r="F93" i="2"/>
  <c r="L93" i="2" s="1"/>
  <c r="C80" i="14"/>
  <c r="G55" i="14"/>
  <c r="I55" i="14" s="1"/>
  <c r="H44" i="9"/>
  <c r="G44" i="9"/>
  <c r="K44" i="10"/>
  <c r="K44" i="11" s="1"/>
  <c r="J44" i="9"/>
  <c r="I44" i="9"/>
  <c r="O21" i="13"/>
  <c r="M21" i="13"/>
  <c r="E7" i="8"/>
  <c r="G46" i="14"/>
  <c r="I46" i="14" s="1"/>
  <c r="F94" i="12"/>
  <c r="E156" i="12"/>
  <c r="L42" i="11"/>
  <c r="H218" i="10"/>
  <c r="G219" i="10"/>
  <c r="E211" i="12"/>
  <c r="G155" i="12"/>
  <c r="L93" i="12"/>
  <c r="N19" i="13"/>
  <c r="O19" i="13" s="1"/>
  <c r="I213" i="12"/>
  <c r="H92" i="11"/>
  <c r="B92" i="12"/>
  <c r="B93" i="12" s="1"/>
  <c r="H63" i="12"/>
  <c r="K63" i="12" s="1"/>
  <c r="M63" i="12" s="1"/>
  <c r="J188" i="12"/>
  <c r="F88" i="11"/>
  <c r="F72" i="11"/>
  <c r="H233" i="10"/>
  <c r="G234" i="10"/>
  <c r="H234" i="10" s="1"/>
  <c r="J234" i="10" s="1"/>
  <c r="L37" i="10" s="1"/>
  <c r="D95" i="10"/>
  <c r="K38" i="11"/>
  <c r="L38" i="11"/>
  <c r="J38" i="11"/>
  <c r="I38" i="11"/>
  <c r="M38" i="10"/>
  <c r="G103" i="8"/>
  <c r="P77" i="10"/>
  <c r="E77" i="9"/>
  <c r="D77" i="9"/>
  <c r="F77" i="9"/>
  <c r="P70" i="10"/>
  <c r="C70" i="9" s="1"/>
  <c r="F70" i="9"/>
  <c r="E70" i="9"/>
  <c r="D70" i="9"/>
  <c r="H91" i="2"/>
  <c r="L91" i="2"/>
  <c r="G91" i="2"/>
  <c r="G92" i="2" s="1"/>
  <c r="G93" i="2" s="1"/>
  <c r="I85" i="8"/>
  <c r="H102" i="8"/>
  <c r="P87" i="10"/>
  <c r="F87" i="9"/>
  <c r="E87" i="9"/>
  <c r="D87" i="9"/>
  <c r="E55" i="8"/>
  <c r="C124" i="12" s="1"/>
  <c r="E125" i="12" s="1"/>
  <c r="E54" i="8"/>
  <c r="P80" i="10"/>
  <c r="C80" i="9" s="1"/>
  <c r="D80" i="9"/>
  <c r="F80" i="9"/>
  <c r="E80" i="9"/>
  <c r="J77" i="11"/>
  <c r="J69" i="11"/>
  <c r="G86" i="8"/>
  <c r="E82" i="10"/>
  <c r="E51" i="8"/>
  <c r="J71" i="11"/>
  <c r="K86" i="10"/>
  <c r="K86" i="11" s="1"/>
  <c r="J86" i="9"/>
  <c r="I86" i="9"/>
  <c r="H86" i="9"/>
  <c r="G86" i="9"/>
  <c r="E41" i="8"/>
  <c r="L64" i="11"/>
  <c r="K62" i="10"/>
  <c r="K62" i="11" s="1"/>
  <c r="J62" i="9"/>
  <c r="I62" i="9"/>
  <c r="H62" i="9"/>
  <c r="G62" i="9"/>
  <c r="E52" i="10"/>
  <c r="E21" i="8"/>
  <c r="K46" i="10"/>
  <c r="K46" i="11" s="1"/>
  <c r="J46" i="9"/>
  <c r="I46" i="9"/>
  <c r="H46" i="9"/>
  <c r="G46" i="9"/>
  <c r="E39" i="10"/>
  <c r="E8" i="8"/>
  <c r="H80" i="9"/>
  <c r="G80" i="9"/>
  <c r="J80" i="9"/>
  <c r="I80" i="9"/>
  <c r="K80" i="10"/>
  <c r="K80" i="11" s="1"/>
  <c r="C75" i="14"/>
  <c r="K12" i="13"/>
  <c r="N12" i="13"/>
  <c r="I53" i="14"/>
  <c r="H53" i="14"/>
  <c r="P81" i="10"/>
  <c r="C81" i="9" s="1"/>
  <c r="E81" i="9"/>
  <c r="D81" i="9"/>
  <c r="F81" i="9"/>
  <c r="S72" i="2"/>
  <c r="S73" i="2"/>
  <c r="R72" i="2"/>
  <c r="Q72" i="2"/>
  <c r="P72" i="2"/>
  <c r="Q73" i="2"/>
  <c r="P73" i="2"/>
  <c r="C76" i="14"/>
  <c r="K83" i="10"/>
  <c r="K83" i="11" s="1"/>
  <c r="G83" i="9"/>
  <c r="J83" i="9"/>
  <c r="I83" i="9"/>
  <c r="H83" i="9"/>
  <c r="K79" i="10"/>
  <c r="K79" i="11" s="1"/>
  <c r="G79" i="9"/>
  <c r="J79" i="9"/>
  <c r="I79" i="9"/>
  <c r="H79" i="9"/>
  <c r="K61" i="10"/>
  <c r="K61" i="11" s="1"/>
  <c r="I61" i="9"/>
  <c r="H61" i="9"/>
  <c r="G61" i="9"/>
  <c r="J61" i="9"/>
  <c r="L58" i="11"/>
  <c r="H56" i="9"/>
  <c r="K56" i="10"/>
  <c r="K56" i="11" s="1"/>
  <c r="G56" i="9"/>
  <c r="J56" i="9"/>
  <c r="I56" i="9"/>
  <c r="L50" i="11"/>
  <c r="K85" i="10"/>
  <c r="K85" i="11" s="1"/>
  <c r="I85" i="9"/>
  <c r="H85" i="9"/>
  <c r="G85" i="9"/>
  <c r="J85" i="9"/>
  <c r="O54" i="2"/>
  <c r="O55" i="2"/>
  <c r="J54" i="2"/>
  <c r="C84" i="14"/>
  <c r="C74" i="14"/>
  <c r="C57" i="14"/>
  <c r="C39" i="14"/>
  <c r="D84" i="9"/>
  <c r="P53" i="10"/>
  <c r="C53" i="9" s="1"/>
  <c r="E11" i="8"/>
  <c r="K11" i="13"/>
  <c r="G48" i="14"/>
  <c r="I48" i="14" s="1"/>
  <c r="E76" i="10"/>
  <c r="E45" i="8"/>
  <c r="L52" i="11"/>
  <c r="L44" i="11"/>
  <c r="I82" i="14"/>
  <c r="H82" i="14"/>
  <c r="E30" i="8"/>
  <c r="L54" i="11"/>
  <c r="E14" i="8"/>
  <c r="G87" i="14"/>
  <c r="I87" i="14" s="1"/>
  <c r="G78" i="14"/>
  <c r="I78" i="14" s="1"/>
  <c r="P64" i="10"/>
  <c r="D64" i="9"/>
  <c r="F64" i="9"/>
  <c r="E64" i="9"/>
  <c r="K36" i="14"/>
  <c r="B37" i="9"/>
  <c r="I36" i="1"/>
  <c r="F36" i="1"/>
  <c r="E36" i="1"/>
  <c r="H103" i="8" l="1"/>
  <c r="G104" i="8"/>
  <c r="J187" i="12"/>
  <c r="H62" i="12"/>
  <c r="K62" i="12" s="1"/>
  <c r="M62" i="12" s="1"/>
  <c r="K87" i="8"/>
  <c r="H77" i="14"/>
  <c r="F57" i="14"/>
  <c r="F58" i="14"/>
  <c r="D57" i="14"/>
  <c r="I214" i="12"/>
  <c r="F211" i="12"/>
  <c r="F80" i="14"/>
  <c r="D80" i="14"/>
  <c r="C79" i="9"/>
  <c r="I79" i="11"/>
  <c r="F131" i="1"/>
  <c r="B34" i="1" s="1"/>
  <c r="E130" i="1"/>
  <c r="F201" i="1"/>
  <c r="B90" i="1" s="1"/>
  <c r="E202" i="1"/>
  <c r="F69" i="14"/>
  <c r="D69" i="14"/>
  <c r="C75" i="9"/>
  <c r="I75" i="11"/>
  <c r="F61" i="14"/>
  <c r="D61" i="14"/>
  <c r="F62" i="14"/>
  <c r="P74" i="10"/>
  <c r="C74" i="9" s="1"/>
  <c r="F74" i="9"/>
  <c r="E74" i="9"/>
  <c r="D74" i="9"/>
  <c r="E89" i="10"/>
  <c r="E58" i="8"/>
  <c r="C127" i="12" s="1"/>
  <c r="E127" i="12" s="1"/>
  <c r="K25" i="13"/>
  <c r="N25" i="13"/>
  <c r="J92" i="14"/>
  <c r="F93" i="10"/>
  <c r="B94" i="10"/>
  <c r="H93" i="10"/>
  <c r="F88" i="14"/>
  <c r="D88" i="14"/>
  <c r="G88" i="14" s="1"/>
  <c r="G51" i="9"/>
  <c r="J51" i="9"/>
  <c r="I51" i="9"/>
  <c r="K51" i="10"/>
  <c r="K51" i="11" s="1"/>
  <c r="H51" i="9"/>
  <c r="D51" i="9"/>
  <c r="P51" i="10"/>
  <c r="C83" i="9"/>
  <c r="I83" i="11"/>
  <c r="I73" i="11"/>
  <c r="C58" i="9"/>
  <c r="I58" i="11"/>
  <c r="P68" i="10"/>
  <c r="D68" i="9"/>
  <c r="F68" i="9"/>
  <c r="E68" i="9"/>
  <c r="P44" i="10"/>
  <c r="D44" i="9"/>
  <c r="F44" i="9"/>
  <c r="E44" i="9"/>
  <c r="J44" i="11"/>
  <c r="P66" i="10"/>
  <c r="C66" i="9" s="1"/>
  <c r="F66" i="9"/>
  <c r="E66" i="9"/>
  <c r="D66" i="9"/>
  <c r="K20" i="13"/>
  <c r="N20" i="13"/>
  <c r="E91" i="14"/>
  <c r="O13" i="13"/>
  <c r="M13" i="13"/>
  <c r="H208" i="10"/>
  <c r="G209" i="10"/>
  <c r="H209" i="10" s="1"/>
  <c r="I53" i="11"/>
  <c r="E57" i="9"/>
  <c r="P57" i="10"/>
  <c r="D57" i="9"/>
  <c r="F57" i="9"/>
  <c r="J57" i="11"/>
  <c r="E49" i="9"/>
  <c r="D49" i="9"/>
  <c r="F49" i="9"/>
  <c r="P49" i="10"/>
  <c r="C49" i="9" s="1"/>
  <c r="K37" i="10"/>
  <c r="K37" i="11" s="1"/>
  <c r="I37" i="9"/>
  <c r="G37" i="9"/>
  <c r="J37" i="9"/>
  <c r="H37" i="9"/>
  <c r="L37" i="11"/>
  <c r="E90" i="14"/>
  <c r="C209" i="10"/>
  <c r="J74" i="11"/>
  <c r="L74" i="11"/>
  <c r="K74" i="11"/>
  <c r="M74" i="10"/>
  <c r="J92" i="10"/>
  <c r="O92" i="10" s="1"/>
  <c r="F63" i="14"/>
  <c r="D63" i="14"/>
  <c r="F64" i="14"/>
  <c r="P60" i="10"/>
  <c r="D60" i="9"/>
  <c r="F60" i="9"/>
  <c r="E60" i="9"/>
  <c r="J60" i="11"/>
  <c r="J72" i="11"/>
  <c r="L72" i="11"/>
  <c r="K72" i="11"/>
  <c r="I72" i="11"/>
  <c r="M72" i="10"/>
  <c r="L94" i="12"/>
  <c r="G156" i="12"/>
  <c r="E157" i="12"/>
  <c r="F95" i="12"/>
  <c r="F65" i="14"/>
  <c r="D65" i="14"/>
  <c r="F66" i="14"/>
  <c r="E269" i="2"/>
  <c r="F269" i="2" s="1"/>
  <c r="J92" i="2" s="1"/>
  <c r="K185" i="10"/>
  <c r="L185" i="10" s="1"/>
  <c r="I184" i="10"/>
  <c r="D216" i="12"/>
  <c r="N96" i="12"/>
  <c r="K35" i="14"/>
  <c r="B36" i="9"/>
  <c r="F35" i="1"/>
  <c r="I35" i="1"/>
  <c r="E35" i="1"/>
  <c r="C50" i="9"/>
  <c r="I50" i="11"/>
  <c r="O14" i="13"/>
  <c r="M14" i="13"/>
  <c r="P62" i="10"/>
  <c r="F62" i="9"/>
  <c r="E62" i="9"/>
  <c r="D62" i="9"/>
  <c r="J62" i="11"/>
  <c r="M23" i="13"/>
  <c r="O23" i="13"/>
  <c r="F71" i="14"/>
  <c r="D71" i="14"/>
  <c r="P47" i="10"/>
  <c r="F47" i="9"/>
  <c r="E47" i="9"/>
  <c r="D47" i="9"/>
  <c r="P63" i="10"/>
  <c r="F63" i="9"/>
  <c r="E63" i="9"/>
  <c r="D63" i="9"/>
  <c r="J63" i="11"/>
  <c r="C71" i="9"/>
  <c r="I71" i="11"/>
  <c r="C95" i="10"/>
  <c r="B92" i="11"/>
  <c r="I92" i="10" s="1"/>
  <c r="G92" i="10"/>
  <c r="N92" i="10" s="1"/>
  <c r="C69" i="9"/>
  <c r="I69" i="11"/>
  <c r="O95" i="12"/>
  <c r="G228" i="1"/>
  <c r="H93" i="1" s="1"/>
  <c r="F229" i="1"/>
  <c r="G93" i="1"/>
  <c r="K93" i="1" s="1"/>
  <c r="F81" i="14"/>
  <c r="F72" i="14"/>
  <c r="D72" i="14"/>
  <c r="F79" i="14"/>
  <c r="D79" i="14"/>
  <c r="G79" i="14" s="1"/>
  <c r="G181" i="2"/>
  <c r="B93" i="2"/>
  <c r="K93" i="2" s="1"/>
  <c r="F67" i="14"/>
  <c r="D67" i="14"/>
  <c r="G67" i="14" s="1"/>
  <c r="H86" i="8"/>
  <c r="C30" i="13"/>
  <c r="G30" i="13" s="1"/>
  <c r="H29" i="13"/>
  <c r="G59" i="12"/>
  <c r="F212" i="12"/>
  <c r="P46" i="10"/>
  <c r="F46" i="9"/>
  <c r="E46" i="9"/>
  <c r="D46" i="9"/>
  <c r="J46" i="11"/>
  <c r="E231" i="2"/>
  <c r="J69" i="2" s="1"/>
  <c r="J70" i="2"/>
  <c r="F59" i="14"/>
  <c r="D59" i="14"/>
  <c r="F60" i="14"/>
  <c r="F75" i="14"/>
  <c r="D75" i="14"/>
  <c r="G75" i="14" s="1"/>
  <c r="H94" i="11"/>
  <c r="K89" i="14"/>
  <c r="B90" i="9"/>
  <c r="B59" i="8"/>
  <c r="F89" i="1"/>
  <c r="I89" i="1"/>
  <c r="F42" i="14"/>
  <c r="D42" i="14"/>
  <c r="G42" i="14" s="1"/>
  <c r="I44" i="2"/>
  <c r="G43" i="9"/>
  <c r="K43" i="10"/>
  <c r="K43" i="11" s="1"/>
  <c r="J43" i="9"/>
  <c r="I43" i="9"/>
  <c r="H43" i="9"/>
  <c r="P43" i="10"/>
  <c r="D43" i="9"/>
  <c r="L43" i="11"/>
  <c r="K59" i="10"/>
  <c r="K59" i="11" s="1"/>
  <c r="G59" i="9"/>
  <c r="J59" i="9"/>
  <c r="I59" i="9"/>
  <c r="H59" i="9"/>
  <c r="L59" i="11"/>
  <c r="P59" i="10"/>
  <c r="D59" i="9"/>
  <c r="J184" i="10"/>
  <c r="M185" i="10"/>
  <c r="N185" i="10" s="1"/>
  <c r="I50" i="2"/>
  <c r="O49" i="2"/>
  <c r="L49" i="11"/>
  <c r="K49" i="11"/>
  <c r="J49" i="11"/>
  <c r="M49" i="10"/>
  <c r="I49" i="11"/>
  <c r="E226" i="2"/>
  <c r="J65" i="2"/>
  <c r="R66" i="2" s="1"/>
  <c r="M11" i="13"/>
  <c r="O11" i="13"/>
  <c r="F84" i="14"/>
  <c r="F85" i="14"/>
  <c r="D84" i="14"/>
  <c r="P82" i="10"/>
  <c r="F82" i="9"/>
  <c r="E82" i="9"/>
  <c r="D82" i="9"/>
  <c r="J233" i="10"/>
  <c r="L36" i="10" s="1"/>
  <c r="Q54" i="2"/>
  <c r="P54" i="2"/>
  <c r="S54" i="2"/>
  <c r="S55" i="2"/>
  <c r="R54" i="2"/>
  <c r="R55" i="2"/>
  <c r="Q55" i="2"/>
  <c r="P55" i="2"/>
  <c r="M12" i="13"/>
  <c r="O12" i="13"/>
  <c r="P52" i="10"/>
  <c r="D52" i="9"/>
  <c r="F52" i="9"/>
  <c r="E52" i="9"/>
  <c r="J52" i="11"/>
  <c r="I86" i="8"/>
  <c r="N91" i="2"/>
  <c r="H92" i="2"/>
  <c r="C77" i="9"/>
  <c r="I77" i="11"/>
  <c r="B94" i="12"/>
  <c r="C85" i="9"/>
  <c r="I85" i="11"/>
  <c r="J36" i="1"/>
  <c r="L36" i="14"/>
  <c r="M36" i="14"/>
  <c r="M37" i="14"/>
  <c r="C64" i="9"/>
  <c r="I64" i="11"/>
  <c r="P76" i="10"/>
  <c r="D76" i="9"/>
  <c r="F76" i="9"/>
  <c r="E76" i="9"/>
  <c r="F39" i="14"/>
  <c r="D39" i="14"/>
  <c r="F40" i="14"/>
  <c r="F74" i="14"/>
  <c r="D74" i="14"/>
  <c r="F76" i="14"/>
  <c r="D76" i="14"/>
  <c r="P39" i="10"/>
  <c r="E39" i="9"/>
  <c r="D39" i="9"/>
  <c r="F39" i="9"/>
  <c r="G87" i="8"/>
  <c r="C87" i="9"/>
  <c r="I87" i="11"/>
  <c r="D96" i="10"/>
  <c r="J88" i="11"/>
  <c r="L88" i="11"/>
  <c r="K88" i="11"/>
  <c r="I88" i="11"/>
  <c r="M88" i="10"/>
  <c r="H219" i="10"/>
  <c r="G220" i="10"/>
  <c r="H125" i="2"/>
  <c r="F94" i="2"/>
  <c r="L94" i="2" s="1"/>
  <c r="C42" i="9"/>
  <c r="I42" i="11"/>
  <c r="J43" i="2"/>
  <c r="E213" i="2"/>
  <c r="J38" i="2" s="1"/>
  <c r="P55" i="10"/>
  <c r="F55" i="9"/>
  <c r="E55" i="9"/>
  <c r="D55" i="9"/>
  <c r="J55" i="11"/>
  <c r="I70" i="11"/>
  <c r="C40" i="9"/>
  <c r="I40" i="11"/>
  <c r="C48" i="9"/>
  <c r="I48" i="11"/>
  <c r="C56" i="9"/>
  <c r="I56" i="11"/>
  <c r="I83" i="14"/>
  <c r="H83" i="14"/>
  <c r="F43" i="14"/>
  <c r="D43" i="14"/>
  <c r="F44" i="14"/>
  <c r="F70" i="14"/>
  <c r="D70" i="14"/>
  <c r="G70" i="14" s="1"/>
  <c r="I39" i="2"/>
  <c r="J86" i="8"/>
  <c r="D85" i="8"/>
  <c r="E86" i="8"/>
  <c r="E103" i="8"/>
  <c r="D102" i="8"/>
  <c r="J66" i="11"/>
  <c r="L66" i="11"/>
  <c r="K66" i="11"/>
  <c r="I66" i="11"/>
  <c r="M66" i="10"/>
  <c r="E213" i="12"/>
  <c r="E234" i="10"/>
  <c r="D234" i="10" s="1"/>
  <c r="F234" i="10" s="1"/>
  <c r="E37" i="10" s="1"/>
  <c r="E233" i="10"/>
  <c r="D233" i="10" s="1"/>
  <c r="F233" i="10" s="1"/>
  <c r="E36" i="10" s="1"/>
  <c r="E232" i="10"/>
  <c r="D232" i="10" s="1"/>
  <c r="E231" i="10"/>
  <c r="D231" i="10" s="1"/>
  <c r="E224" i="10"/>
  <c r="E223" i="10"/>
  <c r="E222" i="10"/>
  <c r="E221" i="10"/>
  <c r="E220" i="10"/>
  <c r="E219" i="10"/>
  <c r="D219" i="10" s="1"/>
  <c r="E218" i="10"/>
  <c r="D218" i="10" s="1"/>
  <c r="E217" i="10"/>
  <c r="D217" i="10" s="1"/>
  <c r="E216" i="10"/>
  <c r="D216" i="10" s="1"/>
  <c r="E209" i="10"/>
  <c r="E208" i="10"/>
  <c r="D208" i="10" s="1"/>
  <c r="E207" i="10"/>
  <c r="D207" i="10" s="1"/>
  <c r="E206" i="10"/>
  <c r="D206" i="10" s="1"/>
  <c r="E205" i="10"/>
  <c r="D205" i="10" s="1"/>
  <c r="E225" i="10"/>
  <c r="D225" i="10" s="1"/>
  <c r="E210" i="10"/>
  <c r="D210" i="10" s="1"/>
  <c r="E229" i="10"/>
  <c r="D229" i="10" s="1"/>
  <c r="E228" i="10"/>
  <c r="D228" i="10" s="1"/>
  <c r="E227" i="10"/>
  <c r="D227" i="10" s="1"/>
  <c r="E226" i="10"/>
  <c r="D226" i="10" s="1"/>
  <c r="E214" i="10"/>
  <c r="D214" i="10" s="1"/>
  <c r="E213" i="10"/>
  <c r="D213" i="10" s="1"/>
  <c r="E212" i="10"/>
  <c r="D212" i="10" s="1"/>
  <c r="E211" i="10"/>
  <c r="D211" i="10" s="1"/>
  <c r="E215" i="10"/>
  <c r="D215" i="10" s="1"/>
  <c r="E204" i="10"/>
  <c r="D204" i="10" s="1"/>
  <c r="E230" i="10"/>
  <c r="D230" i="10" s="1"/>
  <c r="B92" i="14"/>
  <c r="L92" i="1"/>
  <c r="O24" i="13"/>
  <c r="M24" i="13"/>
  <c r="F54" i="9"/>
  <c r="E54" i="9"/>
  <c r="P54" i="10"/>
  <c r="D54" i="9"/>
  <c r="J54" i="11"/>
  <c r="F68" i="14"/>
  <c r="D68" i="14"/>
  <c r="G68" i="14" s="1"/>
  <c r="F267" i="2"/>
  <c r="J90" i="2" s="1"/>
  <c r="Q91" i="2" s="1"/>
  <c r="E270" i="2"/>
  <c r="F270" i="2" s="1"/>
  <c r="J93" i="2" s="1"/>
  <c r="F86" i="8"/>
  <c r="J68" i="11"/>
  <c r="C220" i="10"/>
  <c r="H93" i="11"/>
  <c r="F73" i="14"/>
  <c r="D73" i="14"/>
  <c r="G73" i="14" s="1"/>
  <c r="Q66" i="2"/>
  <c r="R71" i="2"/>
  <c r="Q71" i="2"/>
  <c r="P71" i="2"/>
  <c r="S71" i="2"/>
  <c r="I81" i="11"/>
  <c r="E65" i="9"/>
  <c r="P65" i="10"/>
  <c r="D65" i="9"/>
  <c r="F65" i="9"/>
  <c r="J65" i="11"/>
  <c r="E41" i="9"/>
  <c r="P41" i="10"/>
  <c r="F41" i="9"/>
  <c r="D41" i="9"/>
  <c r="J41" i="11"/>
  <c r="M92" i="2"/>
  <c r="E93" i="2"/>
  <c r="J82" i="11"/>
  <c r="E37" i="9" l="1"/>
  <c r="P37" i="10"/>
  <c r="F37" i="9"/>
  <c r="D37" i="9"/>
  <c r="J37" i="11"/>
  <c r="D220" i="10"/>
  <c r="C221" i="10"/>
  <c r="I40" i="2"/>
  <c r="O39" i="2"/>
  <c r="C55" i="9"/>
  <c r="I55" i="11"/>
  <c r="D97" i="10"/>
  <c r="C39" i="9"/>
  <c r="I39" i="11"/>
  <c r="I183" i="10"/>
  <c r="K184" i="10"/>
  <c r="L184" i="10" s="1"/>
  <c r="P93" i="2"/>
  <c r="E92" i="14"/>
  <c r="E104" i="8"/>
  <c r="D103" i="8"/>
  <c r="H43" i="14"/>
  <c r="G76" i="14"/>
  <c r="G77" i="14"/>
  <c r="I77" i="14" s="1"/>
  <c r="H40" i="14"/>
  <c r="I87" i="8"/>
  <c r="H84" i="14"/>
  <c r="J64" i="2"/>
  <c r="E225" i="2"/>
  <c r="C43" i="9"/>
  <c r="I43" i="11"/>
  <c r="D26" i="13"/>
  <c r="H26" i="13" s="1"/>
  <c r="C27" i="13"/>
  <c r="G27" i="13" s="1"/>
  <c r="J89" i="1"/>
  <c r="L89" i="14"/>
  <c r="M89" i="14"/>
  <c r="Q70" i="2"/>
  <c r="P70" i="2"/>
  <c r="S70" i="2"/>
  <c r="R70" i="2"/>
  <c r="H87" i="8"/>
  <c r="G72" i="14"/>
  <c r="G229" i="1"/>
  <c r="H94" i="1" s="1"/>
  <c r="G94" i="1"/>
  <c r="K94" i="1" s="1"/>
  <c r="F230" i="1"/>
  <c r="C96" i="10"/>
  <c r="C63" i="9"/>
  <c r="I63" i="11"/>
  <c r="C47" i="9"/>
  <c r="I47" i="11"/>
  <c r="L35" i="14"/>
  <c r="H65" i="14"/>
  <c r="I65" i="14"/>
  <c r="I64" i="14"/>
  <c r="H64" i="14"/>
  <c r="C44" i="9"/>
  <c r="I44" i="11"/>
  <c r="C68" i="9"/>
  <c r="I68" i="11"/>
  <c r="J93" i="14"/>
  <c r="H94" i="10"/>
  <c r="F94" i="10"/>
  <c r="B95" i="10"/>
  <c r="H62" i="14"/>
  <c r="I62" i="14"/>
  <c r="K90" i="14"/>
  <c r="B91" i="9"/>
  <c r="B60" i="8"/>
  <c r="I90" i="1"/>
  <c r="F90" i="1"/>
  <c r="P91" i="2"/>
  <c r="H58" i="14"/>
  <c r="G105" i="8"/>
  <c r="F87" i="8"/>
  <c r="I68" i="14"/>
  <c r="H68" i="14"/>
  <c r="E87" i="8"/>
  <c r="D86" i="8"/>
  <c r="H74" i="14"/>
  <c r="I51" i="2"/>
  <c r="O50" i="2"/>
  <c r="H59" i="14"/>
  <c r="I79" i="14"/>
  <c r="H79" i="14"/>
  <c r="G65" i="14"/>
  <c r="G66" i="14"/>
  <c r="I66" i="14" s="1"/>
  <c r="E203" i="1"/>
  <c r="F202" i="1"/>
  <c r="B91" i="1" s="1"/>
  <c r="K88" i="8"/>
  <c r="F213" i="12"/>
  <c r="G39" i="14"/>
  <c r="I39" i="14" s="1"/>
  <c r="G40" i="14"/>
  <c r="I40" i="14" s="1"/>
  <c r="C36" i="14"/>
  <c r="K36" i="10"/>
  <c r="K36" i="11" s="1"/>
  <c r="H36" i="9"/>
  <c r="I36" i="9"/>
  <c r="G36" i="9"/>
  <c r="J36" i="9"/>
  <c r="L36" i="11"/>
  <c r="M184" i="10"/>
  <c r="N184" i="10" s="1"/>
  <c r="J183" i="10"/>
  <c r="H42" i="14"/>
  <c r="I42" i="14"/>
  <c r="H60" i="14"/>
  <c r="P69" i="2"/>
  <c r="S69" i="2"/>
  <c r="R69" i="2"/>
  <c r="Q69" i="2"/>
  <c r="G58" i="12"/>
  <c r="B94" i="2"/>
  <c r="K94" i="2" s="1"/>
  <c r="G182" i="2"/>
  <c r="I72" i="14"/>
  <c r="H72" i="14"/>
  <c r="B93" i="14"/>
  <c r="L93" i="1"/>
  <c r="G71" i="14"/>
  <c r="C62" i="9"/>
  <c r="I62" i="11"/>
  <c r="D217" i="12"/>
  <c r="N97" i="12"/>
  <c r="Q92" i="2"/>
  <c r="P92" i="2"/>
  <c r="R92" i="2"/>
  <c r="G63" i="14"/>
  <c r="G64" i="14"/>
  <c r="I74" i="11"/>
  <c r="D209" i="10"/>
  <c r="G94" i="2"/>
  <c r="C57" i="9"/>
  <c r="I57" i="11"/>
  <c r="B93" i="11"/>
  <c r="I93" i="10" s="1"/>
  <c r="G93" i="10" s="1"/>
  <c r="N93" i="10" s="1"/>
  <c r="O25" i="13"/>
  <c r="M25" i="13"/>
  <c r="G61" i="14"/>
  <c r="G62" i="14"/>
  <c r="G69" i="14"/>
  <c r="I69" i="14" s="1"/>
  <c r="F130" i="1"/>
  <c r="B33" i="1" s="1"/>
  <c r="E129" i="1"/>
  <c r="G80" i="14"/>
  <c r="G81" i="14"/>
  <c r="I81" i="14" s="1"/>
  <c r="H57" i="14"/>
  <c r="H104" i="8"/>
  <c r="E94" i="2"/>
  <c r="M93" i="2"/>
  <c r="Q93" i="2" s="1"/>
  <c r="P36" i="10"/>
  <c r="D36" i="9"/>
  <c r="F36" i="9"/>
  <c r="E36" i="9"/>
  <c r="J36" i="11"/>
  <c r="G43" i="14"/>
  <c r="I43" i="14" s="1"/>
  <c r="G44" i="14"/>
  <c r="H220" i="10"/>
  <c r="G221" i="10"/>
  <c r="H85" i="14"/>
  <c r="P65" i="2"/>
  <c r="S65" i="2"/>
  <c r="R65" i="2"/>
  <c r="Q65" i="2"/>
  <c r="C59" i="9"/>
  <c r="I59" i="11"/>
  <c r="O44" i="2"/>
  <c r="I45" i="2"/>
  <c r="G91" i="12"/>
  <c r="J212" i="12"/>
  <c r="H91" i="12" s="1"/>
  <c r="I67" i="14"/>
  <c r="H67" i="14"/>
  <c r="G157" i="12"/>
  <c r="L95" i="12"/>
  <c r="C60" i="9"/>
  <c r="I60" i="11"/>
  <c r="M20" i="13"/>
  <c r="O20" i="13"/>
  <c r="J93" i="10"/>
  <c r="O93" i="10" s="1"/>
  <c r="P89" i="10"/>
  <c r="E89" i="9"/>
  <c r="D89" i="9"/>
  <c r="F89" i="9"/>
  <c r="J89" i="11"/>
  <c r="G90" i="12"/>
  <c r="K90" i="12" s="1"/>
  <c r="M90" i="12" s="1"/>
  <c r="J211" i="12"/>
  <c r="H90" i="12" s="1"/>
  <c r="G57" i="14"/>
  <c r="I57" i="14" s="1"/>
  <c r="G58" i="14"/>
  <c r="I58" i="14" s="1"/>
  <c r="C41" i="9"/>
  <c r="I41" i="11"/>
  <c r="C65" i="9"/>
  <c r="I65" i="11"/>
  <c r="S66" i="2"/>
  <c r="H73" i="14"/>
  <c r="I73" i="14"/>
  <c r="R90" i="2"/>
  <c r="Q90" i="2"/>
  <c r="P90" i="2"/>
  <c r="E214" i="12"/>
  <c r="I70" i="14"/>
  <c r="H70" i="14"/>
  <c r="H126" i="2"/>
  <c r="F95" i="2"/>
  <c r="L95" i="2" s="1"/>
  <c r="I76" i="14"/>
  <c r="H76" i="14"/>
  <c r="H93" i="2"/>
  <c r="N92" i="2"/>
  <c r="C52" i="9"/>
  <c r="I52" i="11"/>
  <c r="C82" i="9"/>
  <c r="I82" i="11"/>
  <c r="P66" i="2"/>
  <c r="E271" i="2"/>
  <c r="E272" i="2" s="1"/>
  <c r="F272" i="2" s="1"/>
  <c r="J95" i="2" s="1"/>
  <c r="C54" i="9"/>
  <c r="I54" i="11"/>
  <c r="F232" i="10"/>
  <c r="E35" i="10" s="1"/>
  <c r="J87" i="8"/>
  <c r="I44" i="14"/>
  <c r="H44" i="14"/>
  <c r="G88" i="8"/>
  <c r="G74" i="14"/>
  <c r="I74" i="14" s="1"/>
  <c r="H39" i="14"/>
  <c r="C76" i="9"/>
  <c r="I76" i="11"/>
  <c r="B95" i="12"/>
  <c r="G84" i="14"/>
  <c r="I84" i="14" s="1"/>
  <c r="G85" i="14"/>
  <c r="I85" i="14" s="1"/>
  <c r="C83" i="8"/>
  <c r="L83" i="8" s="1"/>
  <c r="H95" i="11"/>
  <c r="H96" i="11" s="1"/>
  <c r="I75" i="14"/>
  <c r="H75" i="14"/>
  <c r="G59" i="14"/>
  <c r="I59" i="14" s="1"/>
  <c r="G60" i="14"/>
  <c r="I60" i="14" s="1"/>
  <c r="C46" i="9"/>
  <c r="I46" i="11"/>
  <c r="H81" i="14"/>
  <c r="O96" i="12"/>
  <c r="I71" i="14"/>
  <c r="H71" i="14"/>
  <c r="J35" i="1"/>
  <c r="H66" i="14"/>
  <c r="E158" i="12"/>
  <c r="F96" i="12"/>
  <c r="I63" i="14"/>
  <c r="H63" i="14"/>
  <c r="C51" i="9"/>
  <c r="I51" i="11"/>
  <c r="I88" i="14"/>
  <c r="H88" i="14"/>
  <c r="I61" i="14"/>
  <c r="H61" i="14"/>
  <c r="H69" i="14"/>
  <c r="K34" i="14"/>
  <c r="B35" i="9"/>
  <c r="F34" i="1"/>
  <c r="E34" i="1"/>
  <c r="I34" i="1"/>
  <c r="R91" i="2"/>
  <c r="I80" i="14"/>
  <c r="H80" i="14"/>
  <c r="I215" i="12"/>
  <c r="J186" i="12"/>
  <c r="H61" i="12"/>
  <c r="K61" i="12" s="1"/>
  <c r="M61" i="12" s="1"/>
  <c r="H221" i="10" l="1"/>
  <c r="G222" i="10"/>
  <c r="C36" i="9"/>
  <c r="I36" i="11"/>
  <c r="H105" i="8"/>
  <c r="I52" i="2"/>
  <c r="O51" i="2"/>
  <c r="G106" i="8"/>
  <c r="J90" i="1"/>
  <c r="C84" i="8"/>
  <c r="L84" i="8" s="1"/>
  <c r="C97" i="10"/>
  <c r="B94" i="14"/>
  <c r="L94" i="1"/>
  <c r="H97" i="11"/>
  <c r="C89" i="14"/>
  <c r="E105" i="8"/>
  <c r="D104" i="8"/>
  <c r="I216" i="12"/>
  <c r="C35" i="14"/>
  <c r="F36" i="14" s="1"/>
  <c r="O97" i="12"/>
  <c r="S83" i="8"/>
  <c r="AF59" i="8" s="1"/>
  <c r="N83" i="8"/>
  <c r="Q83" i="8"/>
  <c r="X59" i="8" s="1"/>
  <c r="R83" i="8"/>
  <c r="AB59" i="8" s="1"/>
  <c r="M83" i="8"/>
  <c r="F59" i="8" s="1"/>
  <c r="P83" i="8"/>
  <c r="T59" i="8" s="1"/>
  <c r="O83" i="8"/>
  <c r="P59" i="8" s="1"/>
  <c r="G89" i="8"/>
  <c r="J88" i="8"/>
  <c r="L96" i="12"/>
  <c r="G158" i="12"/>
  <c r="B95" i="2"/>
  <c r="K95" i="2" s="1"/>
  <c r="G183" i="2"/>
  <c r="J182" i="10"/>
  <c r="M183" i="10"/>
  <c r="N183" i="10" s="1"/>
  <c r="K89" i="8"/>
  <c r="E88" i="8"/>
  <c r="D87" i="8"/>
  <c r="J94" i="14"/>
  <c r="B96" i="10"/>
  <c r="H95" i="10"/>
  <c r="F95" i="10"/>
  <c r="J232" i="10"/>
  <c r="L35" i="10" s="1"/>
  <c r="D35" i="9" s="1"/>
  <c r="D98" i="10"/>
  <c r="D221" i="10"/>
  <c r="C222" i="10"/>
  <c r="L34" i="14"/>
  <c r="E159" i="12"/>
  <c r="F97" i="12"/>
  <c r="J34" i="1"/>
  <c r="B96" i="12"/>
  <c r="E35" i="9"/>
  <c r="F35" i="9"/>
  <c r="J35" i="11"/>
  <c r="F271" i="2"/>
  <c r="J94" i="2" s="1"/>
  <c r="E273" i="2"/>
  <c r="F273" i="2" s="1"/>
  <c r="J96" i="2" s="1"/>
  <c r="H94" i="2"/>
  <c r="N93" i="2"/>
  <c r="R93" i="2" s="1"/>
  <c r="C89" i="9"/>
  <c r="I89" i="11"/>
  <c r="I46" i="2"/>
  <c r="O45" i="2"/>
  <c r="F129" i="1"/>
  <c r="B32" i="1" s="1"/>
  <c r="E128" i="1"/>
  <c r="G95" i="2"/>
  <c r="G96" i="2" s="1"/>
  <c r="E93" i="14"/>
  <c r="D36" i="14"/>
  <c r="F37" i="14"/>
  <c r="G92" i="12"/>
  <c r="J213" i="12"/>
  <c r="H92" i="12" s="1"/>
  <c r="K91" i="14"/>
  <c r="B92" i="9"/>
  <c r="B61" i="8"/>
  <c r="F91" i="1"/>
  <c r="I91" i="1"/>
  <c r="F88" i="8"/>
  <c r="M90" i="14"/>
  <c r="L90" i="14"/>
  <c r="G94" i="10"/>
  <c r="N94" i="10" s="1"/>
  <c r="B94" i="11"/>
  <c r="I94" i="10" s="1"/>
  <c r="M35" i="14"/>
  <c r="F231" i="1"/>
  <c r="G230" i="1"/>
  <c r="H95" i="1" s="1"/>
  <c r="G95" i="1"/>
  <c r="K95" i="1" s="1"/>
  <c r="J63" i="2"/>
  <c r="E224" i="2"/>
  <c r="K183" i="10"/>
  <c r="I182" i="10"/>
  <c r="O40" i="2"/>
  <c r="I41" i="2"/>
  <c r="F214" i="12"/>
  <c r="J185" i="12"/>
  <c r="H60" i="12"/>
  <c r="K60" i="12" s="1"/>
  <c r="M60" i="12" s="1"/>
  <c r="E215" i="12"/>
  <c r="F96" i="2"/>
  <c r="L96" i="2" s="1"/>
  <c r="H127" i="2"/>
  <c r="E95" i="2"/>
  <c r="M94" i="2"/>
  <c r="K33" i="14"/>
  <c r="M34" i="14" s="1"/>
  <c r="B34" i="9"/>
  <c r="F33" i="1"/>
  <c r="I33" i="1"/>
  <c r="E33" i="1"/>
  <c r="D218" i="12"/>
  <c r="N98" i="12"/>
  <c r="G57" i="12"/>
  <c r="E204" i="1"/>
  <c r="F203" i="1"/>
  <c r="B92" i="1" s="1"/>
  <c r="J94" i="10"/>
  <c r="O94" i="10" s="1"/>
  <c r="H88" i="8"/>
  <c r="K26" i="13"/>
  <c r="N26" i="13"/>
  <c r="S64" i="2"/>
  <c r="R64" i="2"/>
  <c r="Q64" i="2"/>
  <c r="P64" i="2"/>
  <c r="I88" i="8"/>
  <c r="I37" i="11"/>
  <c r="C37" i="9"/>
  <c r="H36" i="14" l="1"/>
  <c r="H99" i="11"/>
  <c r="M26" i="13"/>
  <c r="O26" i="13"/>
  <c r="M91" i="14"/>
  <c r="L91" i="14"/>
  <c r="I47" i="2"/>
  <c r="O46" i="2"/>
  <c r="D222" i="10"/>
  <c r="C223" i="10"/>
  <c r="G159" i="12"/>
  <c r="L97" i="12"/>
  <c r="C101" i="8"/>
  <c r="I101" i="8" s="1"/>
  <c r="G59" i="8"/>
  <c r="E106" i="8"/>
  <c r="D105" i="8"/>
  <c r="K92" i="14"/>
  <c r="B93" i="9"/>
  <c r="B62" i="8"/>
  <c r="I92" i="1"/>
  <c r="F92" i="1"/>
  <c r="G56" i="12"/>
  <c r="J33" i="1"/>
  <c r="E96" i="2"/>
  <c r="M95" i="2"/>
  <c r="Q95" i="2" s="1"/>
  <c r="H98" i="11"/>
  <c r="J184" i="12"/>
  <c r="H59" i="12"/>
  <c r="K59" i="12" s="1"/>
  <c r="M59" i="12" s="1"/>
  <c r="I42" i="2"/>
  <c r="O41" i="2"/>
  <c r="J62" i="2"/>
  <c r="E223" i="2"/>
  <c r="G231" i="1"/>
  <c r="H96" i="1" s="1"/>
  <c r="F232" i="1"/>
  <c r="G96" i="1"/>
  <c r="K96" i="1" s="1"/>
  <c r="J91" i="1"/>
  <c r="F128" i="1"/>
  <c r="B31" i="1" s="1"/>
  <c r="E127" i="1"/>
  <c r="P96" i="2"/>
  <c r="E160" i="12"/>
  <c r="F99" i="12" s="1"/>
  <c r="F98" i="12"/>
  <c r="B95" i="11"/>
  <c r="I95" i="10" s="1"/>
  <c r="G95" i="10"/>
  <c r="N95" i="10" s="1"/>
  <c r="K90" i="8"/>
  <c r="AH59" i="8"/>
  <c r="AI59" i="8" s="1"/>
  <c r="AG59" i="8"/>
  <c r="S84" i="8"/>
  <c r="AF60" i="8" s="1"/>
  <c r="O84" i="8"/>
  <c r="P60" i="8" s="1"/>
  <c r="Q84" i="8"/>
  <c r="X60" i="8" s="1"/>
  <c r="N84" i="8"/>
  <c r="R84" i="8"/>
  <c r="AB60" i="8" s="1"/>
  <c r="P84" i="8"/>
  <c r="T60" i="8" s="1"/>
  <c r="M84" i="8"/>
  <c r="F60" i="8" s="1"/>
  <c r="O52" i="2"/>
  <c r="O53" i="2"/>
  <c r="J52" i="2"/>
  <c r="F215" i="12"/>
  <c r="B95" i="14"/>
  <c r="L95" i="1"/>
  <c r="G37" i="14"/>
  <c r="N94" i="2"/>
  <c r="R94" i="2" s="1"/>
  <c r="H95" i="2"/>
  <c r="G35" i="9"/>
  <c r="J35" i="9"/>
  <c r="I35" i="9"/>
  <c r="K35" i="10"/>
  <c r="K35" i="11" s="1"/>
  <c r="H35" i="9"/>
  <c r="L35" i="11"/>
  <c r="B96" i="2"/>
  <c r="K96" i="2" s="1"/>
  <c r="G184" i="2"/>
  <c r="U59" i="8"/>
  <c r="V59" i="8" s="1"/>
  <c r="F35" i="14"/>
  <c r="D35" i="14"/>
  <c r="I89" i="8"/>
  <c r="H89" i="8"/>
  <c r="E205" i="1"/>
  <c r="F204" i="1"/>
  <c r="B93" i="1" s="1"/>
  <c r="N99" i="12"/>
  <c r="D220" i="12" s="1"/>
  <c r="D219" i="12"/>
  <c r="H128" i="2"/>
  <c r="F97" i="2"/>
  <c r="L97" i="2" s="1"/>
  <c r="G93" i="12"/>
  <c r="J214" i="12"/>
  <c r="H93" i="12" s="1"/>
  <c r="R63" i="2"/>
  <c r="Q63" i="2"/>
  <c r="C85" i="8"/>
  <c r="L85" i="8" s="1"/>
  <c r="K32" i="14"/>
  <c r="B33" i="9"/>
  <c r="E32" i="1"/>
  <c r="F32" i="1"/>
  <c r="I32" i="1"/>
  <c r="Q94" i="2"/>
  <c r="P94" i="2"/>
  <c r="C34" i="14"/>
  <c r="J95" i="10"/>
  <c r="O95" i="10" s="1"/>
  <c r="E274" i="2"/>
  <c r="F274" i="2" s="1"/>
  <c r="J97" i="2" s="1"/>
  <c r="G90" i="8"/>
  <c r="AE59" i="8"/>
  <c r="AD59" i="8"/>
  <c r="AC59" i="8"/>
  <c r="O98" i="12"/>
  <c r="O99" i="12" s="1"/>
  <c r="J216" i="12"/>
  <c r="H95" i="12" s="1"/>
  <c r="I217" i="12"/>
  <c r="E94" i="14"/>
  <c r="E216" i="12"/>
  <c r="F216" i="12" s="1"/>
  <c r="G95" i="12" s="1"/>
  <c r="L183" i="10"/>
  <c r="J231" i="10" s="1"/>
  <c r="L34" i="10" s="1"/>
  <c r="F231" i="10"/>
  <c r="E34" i="10" s="1"/>
  <c r="C98" i="10"/>
  <c r="M33" i="14"/>
  <c r="L33" i="14"/>
  <c r="K182" i="10"/>
  <c r="I181" i="10"/>
  <c r="F89" i="8"/>
  <c r="I37" i="14"/>
  <c r="H37" i="14"/>
  <c r="P35" i="10"/>
  <c r="D99" i="10"/>
  <c r="J95" i="14"/>
  <c r="F96" i="10"/>
  <c r="B97" i="10"/>
  <c r="H96" i="10"/>
  <c r="D88" i="8"/>
  <c r="E89" i="8"/>
  <c r="M182" i="10"/>
  <c r="N182" i="10" s="1"/>
  <c r="J181" i="10"/>
  <c r="J89" i="8"/>
  <c r="R59" i="8"/>
  <c r="S59" i="8" s="1"/>
  <c r="Q59" i="8"/>
  <c r="W59" i="8"/>
  <c r="Z59" i="8"/>
  <c r="Y59" i="8"/>
  <c r="AA59" i="8" s="1"/>
  <c r="F89" i="14"/>
  <c r="D89" i="14"/>
  <c r="G89" i="14" s="1"/>
  <c r="C90" i="14"/>
  <c r="G107" i="8"/>
  <c r="H106" i="8"/>
  <c r="H222" i="10"/>
  <c r="G223" i="10"/>
  <c r="P95" i="2"/>
  <c r="F90" i="14" l="1"/>
  <c r="D90" i="14"/>
  <c r="G90" i="14" s="1"/>
  <c r="F90" i="8"/>
  <c r="K93" i="14"/>
  <c r="B94" i="9"/>
  <c r="B63" i="8"/>
  <c r="F93" i="1"/>
  <c r="I93" i="1"/>
  <c r="H35" i="14"/>
  <c r="N95" i="2"/>
  <c r="R95" i="2" s="1"/>
  <c r="H96" i="2"/>
  <c r="F127" i="1"/>
  <c r="B30" i="1" s="1"/>
  <c r="E126" i="1"/>
  <c r="H223" i="10"/>
  <c r="G224" i="10"/>
  <c r="H224" i="10" s="1"/>
  <c r="J96" i="10"/>
  <c r="O96" i="10" s="1"/>
  <c r="C99" i="10"/>
  <c r="S85" i="8"/>
  <c r="AF61" i="8" s="1"/>
  <c r="O85" i="8"/>
  <c r="P61" i="8" s="1"/>
  <c r="M85" i="8"/>
  <c r="F61" i="8" s="1"/>
  <c r="N85" i="8"/>
  <c r="Q85" i="8"/>
  <c r="X61" i="8" s="1"/>
  <c r="P85" i="8"/>
  <c r="T61" i="8" s="1"/>
  <c r="R85" i="8"/>
  <c r="AB61" i="8" s="1"/>
  <c r="H129" i="2"/>
  <c r="F98" i="2"/>
  <c r="L98" i="2" s="1"/>
  <c r="E206" i="1"/>
  <c r="F205" i="1"/>
  <c r="B94" i="1" s="1"/>
  <c r="E95" i="14"/>
  <c r="S52" i="2"/>
  <c r="J51" i="2"/>
  <c r="R52" i="2"/>
  <c r="Q52" i="2"/>
  <c r="P52" i="2"/>
  <c r="R53" i="2"/>
  <c r="Q53" i="2"/>
  <c r="S53" i="2"/>
  <c r="P53" i="2"/>
  <c r="U60" i="8"/>
  <c r="V60" i="8"/>
  <c r="Q60" i="8"/>
  <c r="S60" i="8"/>
  <c r="R60" i="8"/>
  <c r="K31" i="14"/>
  <c r="B32" i="9"/>
  <c r="F31" i="1"/>
  <c r="E31" i="1"/>
  <c r="I31" i="1"/>
  <c r="R62" i="2"/>
  <c r="J183" i="12"/>
  <c r="H58" i="12"/>
  <c r="K58" i="12" s="1"/>
  <c r="M58" i="12" s="1"/>
  <c r="C33" i="14"/>
  <c r="G55" i="12"/>
  <c r="L101" i="8"/>
  <c r="I59" i="8" s="1"/>
  <c r="M101" i="8"/>
  <c r="J59" i="8" s="1"/>
  <c r="N101" i="8"/>
  <c r="M59" i="8" s="1"/>
  <c r="K101" i="8"/>
  <c r="G108" i="8"/>
  <c r="H89" i="14"/>
  <c r="I89" i="14"/>
  <c r="D89" i="8"/>
  <c r="E90" i="8"/>
  <c r="J96" i="14"/>
  <c r="F97" i="10"/>
  <c r="B98" i="10"/>
  <c r="H97" i="10"/>
  <c r="L182" i="10"/>
  <c r="J230" i="10" s="1"/>
  <c r="L33" i="10" s="1"/>
  <c r="F230" i="10"/>
  <c r="E33" i="10" s="1"/>
  <c r="B97" i="12"/>
  <c r="B98" i="12" s="1"/>
  <c r="G91" i="8"/>
  <c r="F34" i="14"/>
  <c r="D34" i="14"/>
  <c r="J32" i="1"/>
  <c r="M32" i="14"/>
  <c r="L32" i="14"/>
  <c r="S63" i="2"/>
  <c r="E217" i="12"/>
  <c r="AC60" i="8"/>
  <c r="AE60" i="8"/>
  <c r="AD60" i="8"/>
  <c r="AG60" i="8"/>
  <c r="AI60" i="8" s="1"/>
  <c r="AH60" i="8"/>
  <c r="G232" i="1"/>
  <c r="H97" i="1" s="1"/>
  <c r="G97" i="1"/>
  <c r="K97" i="1" s="1"/>
  <c r="F233" i="1"/>
  <c r="C86" i="8"/>
  <c r="L86" i="8" s="1"/>
  <c r="E107" i="8"/>
  <c r="D106" i="8"/>
  <c r="J180" i="10"/>
  <c r="M181" i="10"/>
  <c r="N181" i="10" s="1"/>
  <c r="F34" i="9"/>
  <c r="E34" i="9"/>
  <c r="P34" i="10"/>
  <c r="D34" i="9"/>
  <c r="J34" i="11"/>
  <c r="I90" i="8"/>
  <c r="Y60" i="8"/>
  <c r="W60" i="8"/>
  <c r="Z60" i="8"/>
  <c r="AA60" i="8" s="1"/>
  <c r="E222" i="2"/>
  <c r="J61" i="2"/>
  <c r="E97" i="2"/>
  <c r="M96" i="2"/>
  <c r="Q96" i="2" s="1"/>
  <c r="M92" i="14"/>
  <c r="L92" i="14"/>
  <c r="D223" i="10"/>
  <c r="C224" i="10"/>
  <c r="D224" i="10" s="1"/>
  <c r="K181" i="10"/>
  <c r="I180" i="10"/>
  <c r="J34" i="9"/>
  <c r="K34" i="10"/>
  <c r="K34" i="11" s="1"/>
  <c r="I34" i="9"/>
  <c r="H34" i="9"/>
  <c r="G34" i="9"/>
  <c r="L34" i="11"/>
  <c r="H107" i="8"/>
  <c r="J90" i="8"/>
  <c r="B96" i="11"/>
  <c r="I96" i="10" s="1"/>
  <c r="G96" i="10"/>
  <c r="N96" i="10" s="1"/>
  <c r="C35" i="9"/>
  <c r="I35" i="11"/>
  <c r="G97" i="2"/>
  <c r="G98" i="2" s="1"/>
  <c r="I218" i="12"/>
  <c r="P97" i="2"/>
  <c r="J98" i="2"/>
  <c r="P63" i="2"/>
  <c r="H90" i="8"/>
  <c r="G185" i="2"/>
  <c r="B97" i="2"/>
  <c r="K97" i="2" s="1"/>
  <c r="G36" i="14"/>
  <c r="I36" i="14" s="1"/>
  <c r="G94" i="12"/>
  <c r="J215" i="12"/>
  <c r="H94" i="12" s="1"/>
  <c r="C102" i="8"/>
  <c r="I102" i="8" s="1"/>
  <c r="G60" i="8"/>
  <c r="K91" i="8"/>
  <c r="C91" i="14"/>
  <c r="B96" i="14"/>
  <c r="L96" i="1"/>
  <c r="O42" i="2"/>
  <c r="O43" i="2"/>
  <c r="J42" i="2"/>
  <c r="J92" i="1"/>
  <c r="L98" i="12"/>
  <c r="G160" i="12"/>
  <c r="L99" i="12" s="1"/>
  <c r="O47" i="2"/>
  <c r="O48" i="2"/>
  <c r="J47" i="2"/>
  <c r="J41" i="2" l="1"/>
  <c r="P42" i="2" s="1"/>
  <c r="P43" i="2"/>
  <c r="R43" i="2"/>
  <c r="S43" i="2"/>
  <c r="Q43" i="2"/>
  <c r="G186" i="2"/>
  <c r="B98" i="2"/>
  <c r="I219" i="12"/>
  <c r="J91" i="8"/>
  <c r="E98" i="2"/>
  <c r="M97" i="2"/>
  <c r="Q97" i="2" s="1"/>
  <c r="R61" i="8"/>
  <c r="S61" i="8" s="1"/>
  <c r="Q61" i="8"/>
  <c r="K180" i="10"/>
  <c r="I179" i="10"/>
  <c r="P61" i="2"/>
  <c r="I91" i="8"/>
  <c r="C34" i="9"/>
  <c r="I34" i="11"/>
  <c r="M180" i="10"/>
  <c r="N180" i="10" s="1"/>
  <c r="J179" i="10"/>
  <c r="B97" i="14"/>
  <c r="J15" i="13"/>
  <c r="L97" i="1"/>
  <c r="H34" i="14"/>
  <c r="E33" i="9"/>
  <c r="F33" i="9"/>
  <c r="D33" i="9"/>
  <c r="P33" i="10"/>
  <c r="J33" i="11"/>
  <c r="J97" i="14"/>
  <c r="H98" i="10"/>
  <c r="F98" i="10"/>
  <c r="B99" i="10"/>
  <c r="E91" i="8"/>
  <c r="D90" i="8"/>
  <c r="J101" i="8"/>
  <c r="H59" i="8"/>
  <c r="D128" i="12" s="1"/>
  <c r="F128" i="12" s="1"/>
  <c r="D33" i="14"/>
  <c r="S62" i="2"/>
  <c r="W61" i="8"/>
  <c r="Z61" i="8"/>
  <c r="Y61" i="8"/>
  <c r="AA61" i="8" s="1"/>
  <c r="AH61" i="8"/>
  <c r="AG61" i="8"/>
  <c r="AI61" i="8" s="1"/>
  <c r="H97" i="2"/>
  <c r="N96" i="2"/>
  <c r="R96" i="2" s="1"/>
  <c r="C87" i="8"/>
  <c r="L87" i="8" s="1"/>
  <c r="F91" i="8"/>
  <c r="R47" i="2"/>
  <c r="Q47" i="2"/>
  <c r="J46" i="2"/>
  <c r="S47" i="2"/>
  <c r="Q48" i="2"/>
  <c r="R48" i="2"/>
  <c r="S48" i="2"/>
  <c r="P48" i="2"/>
  <c r="E96" i="14"/>
  <c r="B99" i="12"/>
  <c r="J31" i="1"/>
  <c r="J93" i="1"/>
  <c r="H108" i="8"/>
  <c r="F91" i="14"/>
  <c r="D91" i="14"/>
  <c r="G91" i="14" s="1"/>
  <c r="H91" i="8"/>
  <c r="G99" i="2"/>
  <c r="L181" i="10"/>
  <c r="J229" i="10" s="1"/>
  <c r="L32" i="10" s="1"/>
  <c r="F229" i="10"/>
  <c r="E32" i="10" s="1"/>
  <c r="J60" i="2"/>
  <c r="E221" i="2"/>
  <c r="J59" i="2" s="1"/>
  <c r="O86" i="8"/>
  <c r="P62" i="8" s="1"/>
  <c r="S86" i="8"/>
  <c r="AF62" i="8" s="1"/>
  <c r="Q86" i="8"/>
  <c r="X62" i="8" s="1"/>
  <c r="P86" i="8"/>
  <c r="T62" i="8" s="1"/>
  <c r="N86" i="8"/>
  <c r="M86" i="8"/>
  <c r="F62" i="8" s="1"/>
  <c r="R86" i="8"/>
  <c r="AB62" i="8" s="1"/>
  <c r="C32" i="14"/>
  <c r="G92" i="8"/>
  <c r="K33" i="10"/>
  <c r="K33" i="11" s="1"/>
  <c r="I33" i="9"/>
  <c r="L33" i="11"/>
  <c r="J33" i="9"/>
  <c r="H33" i="9"/>
  <c r="G33" i="9"/>
  <c r="B97" i="11"/>
  <c r="I97" i="10" s="1"/>
  <c r="G97" i="10"/>
  <c r="N97" i="10" s="1"/>
  <c r="G109" i="8"/>
  <c r="N59" i="8"/>
  <c r="O59" i="8" s="1"/>
  <c r="P62" i="2"/>
  <c r="L31" i="14"/>
  <c r="F99" i="2"/>
  <c r="L99" i="2" s="1"/>
  <c r="H130" i="2"/>
  <c r="H131" i="2" s="1"/>
  <c r="C103" i="8"/>
  <c r="I103" i="8" s="1"/>
  <c r="G61" i="8"/>
  <c r="K92" i="8"/>
  <c r="F217" i="12"/>
  <c r="E218" i="12"/>
  <c r="F218" i="12" s="1"/>
  <c r="G97" i="12" s="1"/>
  <c r="J97" i="10"/>
  <c r="O97" i="10" s="1"/>
  <c r="C59" i="8"/>
  <c r="E207" i="1"/>
  <c r="F206" i="1"/>
  <c r="B95" i="1" s="1"/>
  <c r="U61" i="8"/>
  <c r="V61" i="8" s="1"/>
  <c r="K30" i="14"/>
  <c r="B31" i="9"/>
  <c r="I30" i="1"/>
  <c r="E30" i="1"/>
  <c r="F30" i="1"/>
  <c r="C92" i="14"/>
  <c r="G35" i="14"/>
  <c r="I35" i="14" s="1"/>
  <c r="L102" i="8"/>
  <c r="I60" i="8" s="1"/>
  <c r="M102" i="8"/>
  <c r="J60" i="8" s="1"/>
  <c r="N102" i="8"/>
  <c r="M60" i="8" s="1"/>
  <c r="K102" i="8"/>
  <c r="P98" i="2"/>
  <c r="J99" i="2"/>
  <c r="E108" i="8"/>
  <c r="D107" i="8"/>
  <c r="G98" i="1"/>
  <c r="K98" i="1" s="1"/>
  <c r="G233" i="1"/>
  <c r="H98" i="1" s="1"/>
  <c r="K59" i="8"/>
  <c r="G90" i="11" s="1"/>
  <c r="F90" i="11" s="1"/>
  <c r="L59" i="8"/>
  <c r="G54" i="12"/>
  <c r="J182" i="12"/>
  <c r="H57" i="12"/>
  <c r="K57" i="12" s="1"/>
  <c r="M57" i="12" s="1"/>
  <c r="Q62" i="2"/>
  <c r="Q51" i="2"/>
  <c r="P51" i="2"/>
  <c r="S51" i="2"/>
  <c r="J50" i="2"/>
  <c r="K94" i="14"/>
  <c r="B95" i="9"/>
  <c r="F94" i="1"/>
  <c r="B64" i="8"/>
  <c r="I94" i="1"/>
  <c r="AD61" i="8"/>
  <c r="AC61" i="8"/>
  <c r="AE61" i="8" s="1"/>
  <c r="F126" i="1"/>
  <c r="B29" i="1" s="1"/>
  <c r="E125" i="1"/>
  <c r="L93" i="14"/>
  <c r="M93" i="14"/>
  <c r="I90" i="14"/>
  <c r="H90" i="14"/>
  <c r="F92" i="14" l="1"/>
  <c r="D92" i="14"/>
  <c r="G92" i="14" s="1"/>
  <c r="R59" i="2"/>
  <c r="Q59" i="2"/>
  <c r="P59" i="2"/>
  <c r="S59" i="2"/>
  <c r="P99" i="2"/>
  <c r="J102" i="8"/>
  <c r="H60" i="8"/>
  <c r="D129" i="12" s="1"/>
  <c r="F129" i="12" s="1"/>
  <c r="E91" i="12" s="1"/>
  <c r="G96" i="12"/>
  <c r="J217" i="12"/>
  <c r="H96" i="12" s="1"/>
  <c r="AC62" i="8"/>
  <c r="AE62" i="8"/>
  <c r="AD62" i="8"/>
  <c r="Y62" i="8"/>
  <c r="AA62" i="8"/>
  <c r="W62" i="8"/>
  <c r="Z62" i="8"/>
  <c r="S60" i="2"/>
  <c r="R60" i="2"/>
  <c r="Q60" i="2"/>
  <c r="P60" i="2"/>
  <c r="H109" i="8"/>
  <c r="J98" i="14"/>
  <c r="H99" i="10"/>
  <c r="F99" i="10"/>
  <c r="L15" i="13"/>
  <c r="Q61" i="2"/>
  <c r="K179" i="10"/>
  <c r="I178" i="10"/>
  <c r="F15" i="13"/>
  <c r="K98" i="2"/>
  <c r="S42" i="2"/>
  <c r="U62" i="8"/>
  <c r="V62" i="8" s="1"/>
  <c r="E99" i="2"/>
  <c r="M99" i="2" s="1"/>
  <c r="Q99" i="2" s="1"/>
  <c r="M98" i="2"/>
  <c r="Q98" i="2" s="1"/>
  <c r="M94" i="14"/>
  <c r="L94" i="14"/>
  <c r="M90" i="10"/>
  <c r="E109" i="8"/>
  <c r="D108" i="8"/>
  <c r="N60" i="8"/>
  <c r="O60" i="8" s="1"/>
  <c r="J30" i="1"/>
  <c r="K95" i="14"/>
  <c r="B96" i="9"/>
  <c r="B65" i="8"/>
  <c r="F95" i="1"/>
  <c r="I95" i="1"/>
  <c r="AG62" i="8"/>
  <c r="AI62" i="8" s="1"/>
  <c r="AH62" i="8"/>
  <c r="P32" i="10"/>
  <c r="D32" i="9"/>
  <c r="J32" i="11"/>
  <c r="F32" i="9"/>
  <c r="E32" i="9"/>
  <c r="H92" i="8"/>
  <c r="C31" i="14"/>
  <c r="Q46" i="2"/>
  <c r="J45" i="2"/>
  <c r="R46" i="2"/>
  <c r="B98" i="11"/>
  <c r="I98" i="10" s="1"/>
  <c r="G98" i="10"/>
  <c r="N98" i="10" s="1"/>
  <c r="C33" i="9"/>
  <c r="I33" i="11"/>
  <c r="E97" i="14"/>
  <c r="R61" i="2"/>
  <c r="L180" i="10"/>
  <c r="J228" i="10" s="1"/>
  <c r="L31" i="10" s="1"/>
  <c r="F228" i="10"/>
  <c r="E31" i="10" s="1"/>
  <c r="G34" i="14"/>
  <c r="I34" i="14" s="1"/>
  <c r="J92" i="8"/>
  <c r="B99" i="2"/>
  <c r="G187" i="2"/>
  <c r="G188" i="2" s="1"/>
  <c r="I91" i="12"/>
  <c r="E90" i="10"/>
  <c r="E59" i="8"/>
  <c r="C128" i="12" s="1"/>
  <c r="E128" i="12" s="1"/>
  <c r="G110" i="8"/>
  <c r="F32" i="14"/>
  <c r="D32" i="14"/>
  <c r="I91" i="14"/>
  <c r="H91" i="14"/>
  <c r="C93" i="14"/>
  <c r="S87" i="8"/>
  <c r="AF63" i="8" s="1"/>
  <c r="O87" i="8"/>
  <c r="P63" i="8" s="1"/>
  <c r="N87" i="8"/>
  <c r="M87" i="8"/>
  <c r="F63" i="8" s="1"/>
  <c r="P87" i="8"/>
  <c r="T63" i="8" s="1"/>
  <c r="Q87" i="8"/>
  <c r="X63" i="8" s="1"/>
  <c r="R87" i="8"/>
  <c r="AB63" i="8" s="1"/>
  <c r="E92" i="8"/>
  <c r="D91" i="8"/>
  <c r="I92" i="8"/>
  <c r="J218" i="12"/>
  <c r="H97" i="12" s="1"/>
  <c r="J40" i="2"/>
  <c r="D59" i="8"/>
  <c r="L90" i="10" s="1"/>
  <c r="L90" i="11" s="1"/>
  <c r="F125" i="1"/>
  <c r="B28" i="1" s="1"/>
  <c r="E124" i="1"/>
  <c r="C88" i="8"/>
  <c r="L88" i="8" s="1"/>
  <c r="J181" i="12"/>
  <c r="H56" i="12"/>
  <c r="K56" i="12" s="1"/>
  <c r="M56" i="12" s="1"/>
  <c r="K29" i="14"/>
  <c r="B30" i="9"/>
  <c r="F29" i="1"/>
  <c r="I29" i="1"/>
  <c r="E29" i="1"/>
  <c r="J94" i="1"/>
  <c r="Q50" i="2"/>
  <c r="J49" i="2"/>
  <c r="R50" i="2"/>
  <c r="R51" i="2"/>
  <c r="G53" i="12"/>
  <c r="B98" i="14"/>
  <c r="J27" i="13"/>
  <c r="L98" i="1"/>
  <c r="J91" i="12"/>
  <c r="J92" i="12" s="1"/>
  <c r="L60" i="8"/>
  <c r="K60" i="8"/>
  <c r="G91" i="11" s="1"/>
  <c r="F91" i="11" s="1"/>
  <c r="L30" i="14"/>
  <c r="M30" i="14"/>
  <c r="F207" i="1"/>
  <c r="B96" i="1" s="1"/>
  <c r="E208" i="1"/>
  <c r="E219" i="12"/>
  <c r="F219" i="12" s="1"/>
  <c r="G98" i="12" s="1"/>
  <c r="L103" i="8"/>
  <c r="I61" i="8" s="1"/>
  <c r="M103" i="8"/>
  <c r="J61" i="8" s="1"/>
  <c r="K103" i="8"/>
  <c r="N103" i="8"/>
  <c r="M61" i="8" s="1"/>
  <c r="M31" i="14"/>
  <c r="C104" i="8"/>
  <c r="I104" i="8" s="1"/>
  <c r="G62" i="8"/>
  <c r="Q62" i="8"/>
  <c r="S62" i="8"/>
  <c r="R62" i="8"/>
  <c r="H32" i="9"/>
  <c r="K32" i="10"/>
  <c r="K32" i="11" s="1"/>
  <c r="G32" i="9"/>
  <c r="J32" i="9"/>
  <c r="I32" i="9"/>
  <c r="L32" i="11"/>
  <c r="P47" i="2"/>
  <c r="F92" i="8"/>
  <c r="H98" i="2"/>
  <c r="N97" i="2"/>
  <c r="R97" i="2" s="1"/>
  <c r="F33" i="14"/>
  <c r="J98" i="10"/>
  <c r="O98" i="10" s="1"/>
  <c r="J178" i="10"/>
  <c r="M179" i="10"/>
  <c r="N179" i="10" s="1"/>
  <c r="S61" i="2"/>
  <c r="I220" i="12"/>
  <c r="J219" i="12"/>
  <c r="H98" i="12" s="1"/>
  <c r="R42" i="2"/>
  <c r="Q42" i="2"/>
  <c r="H55" i="12" l="1"/>
  <c r="K55" i="12" s="1"/>
  <c r="M55" i="12" s="1"/>
  <c r="J180" i="12"/>
  <c r="D92" i="8"/>
  <c r="O61" i="8"/>
  <c r="N61" i="8"/>
  <c r="P49" i="2"/>
  <c r="S49" i="2"/>
  <c r="R49" i="2"/>
  <c r="Q49" i="2"/>
  <c r="AD63" i="8"/>
  <c r="AE63" i="8" s="1"/>
  <c r="AC63" i="8"/>
  <c r="C105" i="8"/>
  <c r="I105" i="8" s="1"/>
  <c r="G63" i="8"/>
  <c r="F93" i="14"/>
  <c r="D93" i="14"/>
  <c r="G93" i="14" s="1"/>
  <c r="H32" i="14"/>
  <c r="P90" i="10"/>
  <c r="F90" i="9"/>
  <c r="E90" i="9"/>
  <c r="D90" i="9"/>
  <c r="P45" i="2"/>
  <c r="J44" i="2"/>
  <c r="R45" i="2" s="1"/>
  <c r="Q45" i="2"/>
  <c r="C32" i="9"/>
  <c r="I32" i="11"/>
  <c r="M95" i="14"/>
  <c r="L95" i="14"/>
  <c r="I177" i="10"/>
  <c r="K178" i="10"/>
  <c r="H110" i="8"/>
  <c r="K96" i="14"/>
  <c r="B97" i="9"/>
  <c r="B66" i="8"/>
  <c r="F96" i="1"/>
  <c r="I96" i="1"/>
  <c r="E98" i="14"/>
  <c r="J29" i="1"/>
  <c r="N98" i="2"/>
  <c r="R98" i="2" s="1"/>
  <c r="H99" i="2"/>
  <c r="N99" i="2" s="1"/>
  <c r="R99" i="2" s="1"/>
  <c r="K90" i="10"/>
  <c r="K90" i="11" s="1"/>
  <c r="J90" i="9"/>
  <c r="I90" i="9"/>
  <c r="H90" i="9"/>
  <c r="G90" i="9"/>
  <c r="J103" i="8"/>
  <c r="H61" i="8"/>
  <c r="D130" i="12" s="1"/>
  <c r="F130" i="12" s="1"/>
  <c r="E92" i="12" s="1"/>
  <c r="G52" i="12"/>
  <c r="L29" i="14"/>
  <c r="W63" i="8"/>
  <c r="Z63" i="8"/>
  <c r="Y63" i="8"/>
  <c r="AA63" i="8" s="1"/>
  <c r="F27" i="13"/>
  <c r="F30" i="13" s="1"/>
  <c r="F32" i="13" s="1"/>
  <c r="K99" i="2"/>
  <c r="P31" i="10"/>
  <c r="D31" i="9"/>
  <c r="F31" i="9"/>
  <c r="E31" i="9"/>
  <c r="J31" i="11"/>
  <c r="S46" i="2"/>
  <c r="D31" i="14"/>
  <c r="E220" i="12"/>
  <c r="F220" i="12" s="1"/>
  <c r="G99" i="12" s="1"/>
  <c r="J95" i="1"/>
  <c r="J90" i="11"/>
  <c r="L179" i="10"/>
  <c r="J227" i="10" s="1"/>
  <c r="L30" i="10" s="1"/>
  <c r="F227" i="10"/>
  <c r="E30" i="10" s="1"/>
  <c r="B99" i="11"/>
  <c r="I99" i="10" s="1"/>
  <c r="G99" i="10"/>
  <c r="N99" i="10" s="1"/>
  <c r="I92" i="14"/>
  <c r="H92" i="14"/>
  <c r="D60" i="8"/>
  <c r="L91" i="10" s="1"/>
  <c r="K28" i="14"/>
  <c r="B29" i="9"/>
  <c r="I28" i="1"/>
  <c r="F28" i="1"/>
  <c r="E28" i="1"/>
  <c r="J39" i="2"/>
  <c r="R40" i="2"/>
  <c r="I92" i="12"/>
  <c r="K91" i="12"/>
  <c r="M91" i="12" s="1"/>
  <c r="E110" i="8"/>
  <c r="D109" i="8"/>
  <c r="M178" i="10"/>
  <c r="N178" i="10" s="1"/>
  <c r="J177" i="10"/>
  <c r="C94" i="14"/>
  <c r="O88" i="8"/>
  <c r="P64" i="8" s="1"/>
  <c r="S88" i="8"/>
  <c r="AF64" i="8" s="1"/>
  <c r="N88" i="8"/>
  <c r="P88" i="8"/>
  <c r="T64" i="8" s="1"/>
  <c r="R88" i="8"/>
  <c r="AB64" i="8" s="1"/>
  <c r="Q88" i="8"/>
  <c r="X64" i="8" s="1"/>
  <c r="M88" i="8"/>
  <c r="F64" i="8" s="1"/>
  <c r="S41" i="2"/>
  <c r="S50" i="2"/>
  <c r="Q41" i="2"/>
  <c r="P41" i="2"/>
  <c r="R63" i="8"/>
  <c r="S63" i="8" s="1"/>
  <c r="Q63" i="8"/>
  <c r="H33" i="14"/>
  <c r="L104" i="8"/>
  <c r="I62" i="8" s="1"/>
  <c r="M104" i="8"/>
  <c r="J62" i="8" s="1"/>
  <c r="J93" i="12" s="1"/>
  <c r="K104" i="8"/>
  <c r="N104" i="8"/>
  <c r="M62" i="8" s="1"/>
  <c r="K61" i="8"/>
  <c r="G92" i="11" s="1"/>
  <c r="F92" i="11" s="1"/>
  <c r="E209" i="1"/>
  <c r="F209" i="1" s="1"/>
  <c r="B98" i="1" s="1"/>
  <c r="F208" i="1"/>
  <c r="B97" i="1" s="1"/>
  <c r="L91" i="11"/>
  <c r="M91" i="10"/>
  <c r="L27" i="13"/>
  <c r="J30" i="13"/>
  <c r="P50" i="2"/>
  <c r="F124" i="1"/>
  <c r="B27" i="1" s="1"/>
  <c r="E123" i="1"/>
  <c r="R41" i="2"/>
  <c r="V63" i="8"/>
  <c r="U63" i="8"/>
  <c r="AH63" i="8"/>
  <c r="AG63" i="8"/>
  <c r="AI63" i="8" s="1"/>
  <c r="C60" i="8"/>
  <c r="K31" i="10"/>
  <c r="K31" i="11" s="1"/>
  <c r="G31" i="9"/>
  <c r="I31" i="9"/>
  <c r="H31" i="9"/>
  <c r="J31" i="9"/>
  <c r="L31" i="11"/>
  <c r="G33" i="14"/>
  <c r="I33" i="14" s="1"/>
  <c r="P46" i="2"/>
  <c r="C89" i="8"/>
  <c r="L89" i="8" s="1"/>
  <c r="C30" i="14"/>
  <c r="J99" i="10"/>
  <c r="O99" i="10" s="1"/>
  <c r="AG64" i="8" l="1"/>
  <c r="AI64" i="8"/>
  <c r="AH64" i="8"/>
  <c r="F94" i="14"/>
  <c r="D94" i="14"/>
  <c r="G94" i="14" s="1"/>
  <c r="J32" i="13"/>
  <c r="L30" i="13"/>
  <c r="K97" i="14"/>
  <c r="B98" i="9"/>
  <c r="B67" i="8"/>
  <c r="F97" i="1"/>
  <c r="I97" i="1"/>
  <c r="Q64" i="8"/>
  <c r="S64" i="8"/>
  <c r="R64" i="8"/>
  <c r="I93" i="12"/>
  <c r="K92" i="12"/>
  <c r="M92" i="12" s="1"/>
  <c r="R39" i="2"/>
  <c r="Q39" i="2"/>
  <c r="P39" i="2"/>
  <c r="S39" i="2"/>
  <c r="J28" i="1"/>
  <c r="L28" i="14"/>
  <c r="C31" i="9"/>
  <c r="I31" i="11"/>
  <c r="M29" i="14"/>
  <c r="C29" i="14"/>
  <c r="C90" i="8"/>
  <c r="L90" i="8" s="1"/>
  <c r="J179" i="12"/>
  <c r="H54" i="12"/>
  <c r="K54" i="12" s="1"/>
  <c r="M54" i="12" s="1"/>
  <c r="O89" i="8"/>
  <c r="P65" i="8" s="1"/>
  <c r="S89" i="8"/>
  <c r="AF65" i="8" s="1"/>
  <c r="R89" i="8"/>
  <c r="AB65" i="8" s="1"/>
  <c r="P89" i="8"/>
  <c r="T65" i="8" s="1"/>
  <c r="N89" i="8"/>
  <c r="M89" i="8"/>
  <c r="F65" i="8" s="1"/>
  <c r="Q89" i="8"/>
  <c r="X65" i="8" s="1"/>
  <c r="M92" i="10"/>
  <c r="D110" i="8"/>
  <c r="C90" i="9"/>
  <c r="I90" i="11"/>
  <c r="O62" i="8"/>
  <c r="N62" i="8"/>
  <c r="AC64" i="8"/>
  <c r="AE64" i="8" s="1"/>
  <c r="AD64" i="8"/>
  <c r="K98" i="14"/>
  <c r="B99" i="9"/>
  <c r="B68" i="8"/>
  <c r="I98" i="1"/>
  <c r="F98" i="1"/>
  <c r="J104" i="8"/>
  <c r="H62" i="8"/>
  <c r="D131" i="12" s="1"/>
  <c r="F131" i="12" s="1"/>
  <c r="E93" i="12" s="1"/>
  <c r="U64" i="8"/>
  <c r="V64" i="8" s="1"/>
  <c r="P40" i="2"/>
  <c r="S40" i="2"/>
  <c r="K91" i="10"/>
  <c r="K91" i="11" s="1"/>
  <c r="G91" i="9"/>
  <c r="J91" i="9"/>
  <c r="I91" i="9"/>
  <c r="H91" i="9"/>
  <c r="G31" i="14"/>
  <c r="J96" i="1"/>
  <c r="L178" i="10"/>
  <c r="J226" i="10" s="1"/>
  <c r="L29" i="10" s="1"/>
  <c r="F226" i="10"/>
  <c r="E29" i="10" s="1"/>
  <c r="S44" i="2"/>
  <c r="R44" i="2"/>
  <c r="Q44" i="2"/>
  <c r="P44" i="2"/>
  <c r="L105" i="8"/>
  <c r="I63" i="8" s="1"/>
  <c r="M105" i="8"/>
  <c r="J63" i="8" s="1"/>
  <c r="K105" i="8"/>
  <c r="N105" i="8"/>
  <c r="M63" i="8" s="1"/>
  <c r="G32" i="14"/>
  <c r="I32" i="14" s="1"/>
  <c r="Y64" i="8"/>
  <c r="AA64" i="8" s="1"/>
  <c r="W64" i="8"/>
  <c r="Z64" i="8"/>
  <c r="K30" i="10"/>
  <c r="K30" i="11" s="1"/>
  <c r="J30" i="9"/>
  <c r="I30" i="9"/>
  <c r="H30" i="9"/>
  <c r="G30" i="9"/>
  <c r="L30" i="11"/>
  <c r="H93" i="14"/>
  <c r="I93" i="14"/>
  <c r="J176" i="10"/>
  <c r="M177" i="10"/>
  <c r="N177" i="10" s="1"/>
  <c r="F30" i="14"/>
  <c r="D30" i="14"/>
  <c r="E91" i="10"/>
  <c r="E60" i="8"/>
  <c r="C129" i="12" s="1"/>
  <c r="E129" i="12" s="1"/>
  <c r="D91" i="12" s="1"/>
  <c r="F123" i="1"/>
  <c r="B26" i="1" s="1"/>
  <c r="E122" i="1"/>
  <c r="K27" i="14"/>
  <c r="M28" i="14" s="1"/>
  <c r="B28" i="9"/>
  <c r="F27" i="1"/>
  <c r="I27" i="1"/>
  <c r="E27" i="1"/>
  <c r="L61" i="8"/>
  <c r="D61" i="8" s="1"/>
  <c r="L92" i="10" s="1"/>
  <c r="L62" i="8"/>
  <c r="D62" i="8" s="1"/>
  <c r="L93" i="10" s="1"/>
  <c r="K62" i="8"/>
  <c r="G93" i="11" s="1"/>
  <c r="F93" i="11" s="1"/>
  <c r="C106" i="8"/>
  <c r="I106" i="8" s="1"/>
  <c r="G64" i="8"/>
  <c r="Q40" i="2"/>
  <c r="P30" i="10"/>
  <c r="F30" i="9"/>
  <c r="D30" i="9"/>
  <c r="E30" i="9"/>
  <c r="J30" i="11"/>
  <c r="C95" i="14"/>
  <c r="F31" i="14"/>
  <c r="G51" i="12"/>
  <c r="J220" i="12"/>
  <c r="H99" i="12" s="1"/>
  <c r="M96" i="14"/>
  <c r="L96" i="14"/>
  <c r="K177" i="10"/>
  <c r="I176" i="10"/>
  <c r="S45" i="2"/>
  <c r="C61" i="8"/>
  <c r="M176" i="10" l="1"/>
  <c r="N176" i="10" s="1"/>
  <c r="J175" i="10"/>
  <c r="K29" i="10"/>
  <c r="K29" i="11" s="1"/>
  <c r="I29" i="9"/>
  <c r="J29" i="9"/>
  <c r="H29" i="9"/>
  <c r="G29" i="9"/>
  <c r="L29" i="11"/>
  <c r="C107" i="8"/>
  <c r="I107" i="8" s="1"/>
  <c r="G65" i="8"/>
  <c r="R65" i="8"/>
  <c r="Q65" i="8"/>
  <c r="S65" i="8" s="1"/>
  <c r="O90" i="8"/>
  <c r="P66" i="8" s="1"/>
  <c r="S90" i="8"/>
  <c r="AF66" i="8" s="1"/>
  <c r="Q90" i="8"/>
  <c r="X66" i="8" s="1"/>
  <c r="M90" i="8"/>
  <c r="F66" i="8" s="1"/>
  <c r="N90" i="8"/>
  <c r="R90" i="8"/>
  <c r="AB66" i="8" s="1"/>
  <c r="P90" i="8"/>
  <c r="T66" i="8" s="1"/>
  <c r="L97" i="14"/>
  <c r="M97" i="14"/>
  <c r="I175" i="10"/>
  <c r="K176" i="10"/>
  <c r="K92" i="10"/>
  <c r="K92" i="11" s="1"/>
  <c r="H92" i="9"/>
  <c r="G92" i="9"/>
  <c r="J92" i="9"/>
  <c r="I92" i="9"/>
  <c r="F122" i="1"/>
  <c r="B25" i="1" s="1"/>
  <c r="E121" i="1"/>
  <c r="G30" i="14"/>
  <c r="I30" i="14" s="1"/>
  <c r="C62" i="8"/>
  <c r="K63" i="8"/>
  <c r="G94" i="11" s="1"/>
  <c r="F94" i="11" s="1"/>
  <c r="D27" i="13"/>
  <c r="J98" i="1"/>
  <c r="C92" i="8"/>
  <c r="L92" i="8" s="1"/>
  <c r="L92" i="11"/>
  <c r="U65" i="8"/>
  <c r="V65" i="8" s="1"/>
  <c r="D15" i="13"/>
  <c r="H15" i="13" s="1"/>
  <c r="J97" i="1"/>
  <c r="I31" i="14"/>
  <c r="H31" i="14"/>
  <c r="P91" i="10"/>
  <c r="F91" i="9"/>
  <c r="E91" i="9"/>
  <c r="D91" i="9"/>
  <c r="J91" i="11"/>
  <c r="J105" i="8"/>
  <c r="H63" i="8"/>
  <c r="D132" i="12" s="1"/>
  <c r="F132" i="12" s="1"/>
  <c r="E94" i="12" s="1"/>
  <c r="L177" i="10"/>
  <c r="J225" i="10" s="1"/>
  <c r="L28" i="10" s="1"/>
  <c r="F225" i="10"/>
  <c r="E28" i="10" s="1"/>
  <c r="F95" i="14"/>
  <c r="D95" i="14"/>
  <c r="G95" i="14" s="1"/>
  <c r="L106" i="8"/>
  <c r="I64" i="8" s="1"/>
  <c r="M106" i="8"/>
  <c r="J64" i="8" s="1"/>
  <c r="N106" i="8"/>
  <c r="M64" i="8" s="1"/>
  <c r="K106" i="8"/>
  <c r="C18" i="13"/>
  <c r="G18" i="13" s="1"/>
  <c r="D17" i="13"/>
  <c r="H17" i="13" s="1"/>
  <c r="C9" i="13"/>
  <c r="G9" i="13" s="1"/>
  <c r="D8" i="13"/>
  <c r="H8" i="13" s="1"/>
  <c r="J27" i="1"/>
  <c r="K26" i="14"/>
  <c r="B27" i="9"/>
  <c r="F26" i="1"/>
  <c r="E26" i="1"/>
  <c r="I26" i="1"/>
  <c r="H30" i="14"/>
  <c r="C96" i="14"/>
  <c r="W65" i="8"/>
  <c r="Z65" i="8"/>
  <c r="Y65" i="8"/>
  <c r="AA65" i="8" s="1"/>
  <c r="AD65" i="8"/>
  <c r="AC65" i="8"/>
  <c r="AE65" i="8" s="1"/>
  <c r="J178" i="12"/>
  <c r="H53" i="12"/>
  <c r="K53" i="12" s="1"/>
  <c r="M53" i="12" s="1"/>
  <c r="I94" i="12"/>
  <c r="K93" i="12"/>
  <c r="M93" i="12" s="1"/>
  <c r="C91" i="8"/>
  <c r="L91" i="8" s="1"/>
  <c r="I94" i="14"/>
  <c r="H94" i="14"/>
  <c r="K93" i="10"/>
  <c r="I93" i="9"/>
  <c r="H93" i="9"/>
  <c r="G93" i="9"/>
  <c r="J93" i="9"/>
  <c r="L27" i="14"/>
  <c r="M27" i="14"/>
  <c r="E92" i="10"/>
  <c r="E61" i="8"/>
  <c r="C130" i="12" s="1"/>
  <c r="E130" i="12" s="1"/>
  <c r="G50" i="12"/>
  <c r="C30" i="9"/>
  <c r="I30" i="11"/>
  <c r="L93" i="11"/>
  <c r="K93" i="11"/>
  <c r="M93" i="10"/>
  <c r="D92" i="12"/>
  <c r="C91" i="12"/>
  <c r="L91" i="9" s="1"/>
  <c r="K91" i="9"/>
  <c r="O63" i="8"/>
  <c r="N63" i="8"/>
  <c r="C63" i="8" s="1"/>
  <c r="P29" i="10"/>
  <c r="E29" i="9"/>
  <c r="D29" i="9"/>
  <c r="F29" i="9"/>
  <c r="J29" i="11"/>
  <c r="M98" i="14"/>
  <c r="L98" i="14"/>
  <c r="AH65" i="8"/>
  <c r="AI65" i="8" s="1"/>
  <c r="AG65" i="8"/>
  <c r="D29" i="14"/>
  <c r="C28" i="14"/>
  <c r="L32" i="13"/>
  <c r="J94" i="12"/>
  <c r="J95" i="12" s="1"/>
  <c r="E94" i="10" l="1"/>
  <c r="P92" i="10"/>
  <c r="D92" i="9"/>
  <c r="F92" i="9"/>
  <c r="E92" i="9"/>
  <c r="J92" i="11"/>
  <c r="N64" i="8"/>
  <c r="O64" i="8" s="1"/>
  <c r="D30" i="13"/>
  <c r="H27" i="13"/>
  <c r="L107" i="8"/>
  <c r="I65" i="8" s="1"/>
  <c r="M107" i="8"/>
  <c r="J65" i="8" s="1"/>
  <c r="K107" i="8"/>
  <c r="N107" i="8"/>
  <c r="M65" i="8" s="1"/>
  <c r="C92" i="12"/>
  <c r="L92" i="9" s="1"/>
  <c r="K92" i="9"/>
  <c r="G49" i="12"/>
  <c r="F96" i="14"/>
  <c r="D96" i="14"/>
  <c r="G96" i="14" s="1"/>
  <c r="J26" i="1"/>
  <c r="C27" i="14"/>
  <c r="K64" i="8"/>
  <c r="G95" i="11" s="1"/>
  <c r="F95" i="11" s="1"/>
  <c r="P28" i="10"/>
  <c r="D28" i="9"/>
  <c r="F28" i="9"/>
  <c r="E28" i="9"/>
  <c r="J28" i="11"/>
  <c r="C91" i="9"/>
  <c r="I91" i="11"/>
  <c r="C97" i="14"/>
  <c r="C98" i="14"/>
  <c r="L63" i="8"/>
  <c r="D63" i="8" s="1"/>
  <c r="L94" i="10" s="1"/>
  <c r="F121" i="1"/>
  <c r="B17" i="1" s="1"/>
  <c r="E120" i="1"/>
  <c r="L176" i="10"/>
  <c r="J224" i="10" s="1"/>
  <c r="L27" i="10" s="1"/>
  <c r="F224" i="10"/>
  <c r="E27" i="10" s="1"/>
  <c r="U66" i="8"/>
  <c r="V66" i="8"/>
  <c r="Y66" i="8"/>
  <c r="W66" i="8"/>
  <c r="Z66" i="8"/>
  <c r="AA66" i="8" s="1"/>
  <c r="I29" i="11"/>
  <c r="C29" i="9"/>
  <c r="N9" i="13"/>
  <c r="K9" i="13"/>
  <c r="S91" i="8"/>
  <c r="AF67" i="8" s="1"/>
  <c r="O91" i="8"/>
  <c r="P67" i="8" s="1"/>
  <c r="P91" i="8"/>
  <c r="T67" i="8" s="1"/>
  <c r="M91" i="8"/>
  <c r="F67" i="8" s="1"/>
  <c r="N91" i="8"/>
  <c r="R91" i="8"/>
  <c r="AB67" i="8" s="1"/>
  <c r="Q91" i="8"/>
  <c r="X67" i="8" s="1"/>
  <c r="H28" i="9"/>
  <c r="K28" i="10"/>
  <c r="K28" i="11" s="1"/>
  <c r="J28" i="9"/>
  <c r="I28" i="9"/>
  <c r="G28" i="9"/>
  <c r="L28" i="11"/>
  <c r="L94" i="11"/>
  <c r="J94" i="11"/>
  <c r="M94" i="10"/>
  <c r="K25" i="14"/>
  <c r="F25" i="1"/>
  <c r="I25" i="1"/>
  <c r="E25" i="1"/>
  <c r="K175" i="10"/>
  <c r="I174" i="10"/>
  <c r="I173" i="10" s="1"/>
  <c r="I172" i="10" s="1"/>
  <c r="I171" i="10" s="1"/>
  <c r="I170" i="10" s="1"/>
  <c r="I169" i="10" s="1"/>
  <c r="I168" i="10" s="1"/>
  <c r="I167" i="10"/>
  <c r="K167" i="10" s="1"/>
  <c r="AC66" i="8"/>
  <c r="AE66" i="8" s="1"/>
  <c r="AD66" i="8"/>
  <c r="AG66" i="8"/>
  <c r="AI66" i="8"/>
  <c r="AH66" i="8"/>
  <c r="J96" i="12"/>
  <c r="F28" i="14"/>
  <c r="D28" i="14"/>
  <c r="J177" i="12"/>
  <c r="H52" i="12"/>
  <c r="K52" i="12" s="1"/>
  <c r="M52" i="12" s="1"/>
  <c r="I95" i="14"/>
  <c r="H95" i="14"/>
  <c r="J174" i="10"/>
  <c r="J173" i="10" s="1"/>
  <c r="J172" i="10" s="1"/>
  <c r="J171" i="10" s="1"/>
  <c r="J170" i="10" s="1"/>
  <c r="J169" i="10" s="1"/>
  <c r="J168" i="10" s="1"/>
  <c r="J167" i="10"/>
  <c r="M175" i="10"/>
  <c r="N175" i="10" s="1"/>
  <c r="F29" i="14"/>
  <c r="I95" i="12"/>
  <c r="K94" i="12"/>
  <c r="M94" i="12" s="1"/>
  <c r="N18" i="13"/>
  <c r="K18" i="13"/>
  <c r="C64" i="8"/>
  <c r="M26" i="14"/>
  <c r="L26" i="14"/>
  <c r="J106" i="8"/>
  <c r="H64" i="8"/>
  <c r="D133" i="12" s="1"/>
  <c r="F133" i="12" s="1"/>
  <c r="E95" i="12" s="1"/>
  <c r="K15" i="13"/>
  <c r="N15" i="13"/>
  <c r="O92" i="8"/>
  <c r="P68" i="8" s="1"/>
  <c r="S92" i="8"/>
  <c r="AF68" i="8" s="1"/>
  <c r="P92" i="8"/>
  <c r="T68" i="8" s="1"/>
  <c r="Q92" i="8"/>
  <c r="X68" i="8" s="1"/>
  <c r="N92" i="8"/>
  <c r="R92" i="8"/>
  <c r="AB68" i="8" s="1"/>
  <c r="M92" i="8"/>
  <c r="F68" i="8" s="1"/>
  <c r="E93" i="10"/>
  <c r="E62" i="8"/>
  <c r="C131" i="12" s="1"/>
  <c r="E131" i="12" s="1"/>
  <c r="D93" i="12" s="1"/>
  <c r="C108" i="8"/>
  <c r="I108" i="8" s="1"/>
  <c r="G66" i="8"/>
  <c r="Q66" i="8"/>
  <c r="S66" i="8"/>
  <c r="R66" i="8"/>
  <c r="C93" i="12" l="1"/>
  <c r="L93" i="9" s="1"/>
  <c r="K93" i="9"/>
  <c r="E96" i="12"/>
  <c r="U68" i="8"/>
  <c r="V68" i="8"/>
  <c r="H29" i="14"/>
  <c r="J25" i="1"/>
  <c r="O9" i="13"/>
  <c r="M9" i="13"/>
  <c r="F120" i="1"/>
  <c r="B12" i="1" s="1"/>
  <c r="E119" i="1"/>
  <c r="F119" i="1" s="1"/>
  <c r="B6" i="1" s="1"/>
  <c r="F98" i="14"/>
  <c r="D98" i="14"/>
  <c r="N65" i="8"/>
  <c r="O65" i="8" s="1"/>
  <c r="K27" i="13"/>
  <c r="N27" i="13"/>
  <c r="C92" i="9"/>
  <c r="I92" i="11"/>
  <c r="L108" i="8"/>
  <c r="I66" i="8" s="1"/>
  <c r="M108" i="8"/>
  <c r="J66" i="8" s="1"/>
  <c r="N108" i="8"/>
  <c r="M66" i="8" s="1"/>
  <c r="K108" i="8"/>
  <c r="AC68" i="8"/>
  <c r="AD68" i="8"/>
  <c r="AE68" i="8" s="1"/>
  <c r="AG68" i="8"/>
  <c r="AI68" i="8" s="1"/>
  <c r="AH68" i="8"/>
  <c r="H28" i="14"/>
  <c r="K168" i="10"/>
  <c r="L167" i="10"/>
  <c r="L25" i="14"/>
  <c r="W67" i="8"/>
  <c r="Z67" i="8"/>
  <c r="AA67" i="8" s="1"/>
  <c r="Y67" i="8"/>
  <c r="U67" i="8"/>
  <c r="V67" i="8" s="1"/>
  <c r="K17" i="14"/>
  <c r="B18" i="9"/>
  <c r="B19" i="9" s="1"/>
  <c r="I17" i="1"/>
  <c r="F17" i="1"/>
  <c r="E17" i="1"/>
  <c r="C28" i="9"/>
  <c r="I28" i="11"/>
  <c r="C26" i="14"/>
  <c r="I96" i="14"/>
  <c r="H96" i="14"/>
  <c r="J107" i="8"/>
  <c r="H65" i="8"/>
  <c r="D134" i="12" s="1"/>
  <c r="F134" i="12" s="1"/>
  <c r="D32" i="13"/>
  <c r="H32" i="13" s="1"/>
  <c r="H30" i="13"/>
  <c r="AD67" i="8"/>
  <c r="AC67" i="8"/>
  <c r="AE67" i="8" s="1"/>
  <c r="S67" i="8"/>
  <c r="R67" i="8"/>
  <c r="Q67" i="8"/>
  <c r="P27" i="10"/>
  <c r="F27" i="9"/>
  <c r="E27" i="9"/>
  <c r="D27" i="9"/>
  <c r="J27" i="11"/>
  <c r="K94" i="10"/>
  <c r="K94" i="11" s="1"/>
  <c r="J94" i="9"/>
  <c r="I94" i="9"/>
  <c r="H94" i="9"/>
  <c r="G94" i="9"/>
  <c r="F97" i="14"/>
  <c r="D97" i="14"/>
  <c r="G97" i="14" s="1"/>
  <c r="M95" i="10"/>
  <c r="K65" i="8"/>
  <c r="G96" i="11" s="1"/>
  <c r="F96" i="11" s="1"/>
  <c r="E63" i="8"/>
  <c r="C132" i="12" s="1"/>
  <c r="E132" i="12" s="1"/>
  <c r="D94" i="12" s="1"/>
  <c r="M15" i="13"/>
  <c r="O15" i="13"/>
  <c r="O18" i="13"/>
  <c r="M18" i="13"/>
  <c r="C110" i="8"/>
  <c r="I110" i="8" s="1"/>
  <c r="G68" i="8"/>
  <c r="Q68" i="8"/>
  <c r="R68" i="8"/>
  <c r="S68" i="8" s="1"/>
  <c r="J164" i="10"/>
  <c r="J165" i="10"/>
  <c r="J166" i="10"/>
  <c r="J162" i="10"/>
  <c r="M167" i="10"/>
  <c r="J163" i="10"/>
  <c r="J97" i="12"/>
  <c r="E93" i="9"/>
  <c r="D93" i="9"/>
  <c r="P93" i="10"/>
  <c r="F93" i="9"/>
  <c r="J93" i="11"/>
  <c r="Y68" i="8"/>
  <c r="AA68" i="8" s="1"/>
  <c r="W68" i="8"/>
  <c r="Z68" i="8"/>
  <c r="E95" i="10"/>
  <c r="I96" i="12"/>
  <c r="K95" i="12"/>
  <c r="M95" i="12" s="1"/>
  <c r="J176" i="12"/>
  <c r="H51" i="12"/>
  <c r="K51" i="12" s="1"/>
  <c r="M51" i="12" s="1"/>
  <c r="L175" i="10"/>
  <c r="J223" i="10" s="1"/>
  <c r="L26" i="10" s="1"/>
  <c r="F223" i="10"/>
  <c r="E26" i="10" s="1"/>
  <c r="C109" i="8"/>
  <c r="I109" i="8" s="1"/>
  <c r="G67" i="8"/>
  <c r="AH67" i="8"/>
  <c r="AI67" i="8" s="1"/>
  <c r="AG67" i="8"/>
  <c r="G27" i="9"/>
  <c r="K27" i="10"/>
  <c r="K27" i="11" s="1"/>
  <c r="H27" i="9"/>
  <c r="J27" i="9"/>
  <c r="I27" i="9"/>
  <c r="L27" i="11"/>
  <c r="L64" i="8"/>
  <c r="D64" i="8" s="1"/>
  <c r="L95" i="10" s="1"/>
  <c r="D27" i="14"/>
  <c r="F27" i="14"/>
  <c r="G48" i="12"/>
  <c r="G29" i="14"/>
  <c r="I29" i="14" s="1"/>
  <c r="P94" i="10"/>
  <c r="F94" i="9"/>
  <c r="E94" i="9"/>
  <c r="D94" i="9"/>
  <c r="C94" i="12" l="1"/>
  <c r="L94" i="9" s="1"/>
  <c r="K94" i="9"/>
  <c r="K95" i="10"/>
  <c r="K95" i="11" s="1"/>
  <c r="G95" i="9"/>
  <c r="J95" i="9"/>
  <c r="I95" i="9"/>
  <c r="H95" i="9"/>
  <c r="J175" i="12"/>
  <c r="H50" i="12"/>
  <c r="K50" i="12" s="1"/>
  <c r="M50" i="12" s="1"/>
  <c r="M168" i="10"/>
  <c r="M169" i="10" s="1"/>
  <c r="M170" i="10" s="1"/>
  <c r="M171" i="10" s="1"/>
  <c r="M172" i="10" s="1"/>
  <c r="M173" i="10" s="1"/>
  <c r="M174" i="10" s="1"/>
  <c r="N167" i="10"/>
  <c r="N168" i="10" s="1"/>
  <c r="N169" i="10" s="1"/>
  <c r="N170" i="10" s="1"/>
  <c r="N171" i="10" s="1"/>
  <c r="N172" i="10" s="1"/>
  <c r="N173" i="10" s="1"/>
  <c r="N174" i="10" s="1"/>
  <c r="K30" i="13"/>
  <c r="N30" i="13"/>
  <c r="C8" i="13"/>
  <c r="G8" i="13" s="1"/>
  <c r="D7" i="13"/>
  <c r="H7" i="13" s="1"/>
  <c r="J17" i="1"/>
  <c r="C25" i="14"/>
  <c r="F26" i="14" s="1"/>
  <c r="J156" i="10"/>
  <c r="M156" i="10" s="1"/>
  <c r="M162" i="10"/>
  <c r="J161" i="10"/>
  <c r="J160" i="10" s="1"/>
  <c r="J159" i="10" s="1"/>
  <c r="J158" i="10" s="1"/>
  <c r="J157" i="10" s="1"/>
  <c r="L110" i="8"/>
  <c r="I68" i="8" s="1"/>
  <c r="M110" i="8"/>
  <c r="J68" i="8" s="1"/>
  <c r="N110" i="8"/>
  <c r="M68" i="8" s="1"/>
  <c r="K110" i="8"/>
  <c r="L95" i="11"/>
  <c r="C27" i="9"/>
  <c r="I27" i="11"/>
  <c r="F215" i="10"/>
  <c r="E18" i="10" s="1"/>
  <c r="O66" i="8"/>
  <c r="N66" i="8"/>
  <c r="K12" i="14"/>
  <c r="B13" i="9"/>
  <c r="B14" i="9" s="1"/>
  <c r="O12" i="1"/>
  <c r="E12" i="1"/>
  <c r="B16" i="1"/>
  <c r="Q12" i="1"/>
  <c r="I12" i="1"/>
  <c r="F12" i="1"/>
  <c r="M96" i="10"/>
  <c r="K6" i="14"/>
  <c r="L6" i="14" s="1"/>
  <c r="O85" i="1"/>
  <c r="O81" i="1"/>
  <c r="O77" i="1"/>
  <c r="O46" i="1"/>
  <c r="O45" i="1"/>
  <c r="O44" i="1"/>
  <c r="O43" i="1"/>
  <c r="O42" i="1"/>
  <c r="O41" i="1"/>
  <c r="O40" i="1"/>
  <c r="O39" i="1"/>
  <c r="O38" i="1"/>
  <c r="O37" i="1"/>
  <c r="B7" i="9"/>
  <c r="O86" i="1"/>
  <c r="O84" i="1"/>
  <c r="O83" i="1"/>
  <c r="O74" i="1"/>
  <c r="O70" i="1"/>
  <c r="O54" i="1"/>
  <c r="O50" i="1"/>
  <c r="O6" i="1"/>
  <c r="E6" i="1"/>
  <c r="O57" i="1"/>
  <c r="O55" i="1"/>
  <c r="O51" i="1"/>
  <c r="O71" i="1"/>
  <c r="O66" i="1"/>
  <c r="O64" i="1"/>
  <c r="O62" i="1"/>
  <c r="O82" i="1"/>
  <c r="O80" i="1"/>
  <c r="O79" i="1"/>
  <c r="O73" i="1"/>
  <c r="O69" i="1"/>
  <c r="O65" i="1"/>
  <c r="O63" i="1"/>
  <c r="O61" i="1"/>
  <c r="O59" i="1"/>
  <c r="O47" i="1"/>
  <c r="I6" i="1"/>
  <c r="M17" i="1" s="1"/>
  <c r="O87" i="1"/>
  <c r="O49" i="1"/>
  <c r="F6" i="1"/>
  <c r="O78" i="1"/>
  <c r="O76" i="1"/>
  <c r="O72" i="1"/>
  <c r="O68" i="1"/>
  <c r="O56" i="1"/>
  <c r="O52" i="1"/>
  <c r="O48" i="1"/>
  <c r="Q6" i="1"/>
  <c r="O88" i="1"/>
  <c r="O75" i="1"/>
  <c r="O67" i="1"/>
  <c r="O60" i="1"/>
  <c r="O58" i="1"/>
  <c r="O53" i="1"/>
  <c r="O36" i="1"/>
  <c r="Q83" i="1"/>
  <c r="Q64" i="1"/>
  <c r="Q60" i="1"/>
  <c r="Q82" i="1"/>
  <c r="Q68" i="1"/>
  <c r="Q51" i="1"/>
  <c r="Q40" i="1"/>
  <c r="Q45" i="1"/>
  <c r="Q69" i="1"/>
  <c r="Q88" i="1"/>
  <c r="Q71" i="1"/>
  <c r="Q37" i="1"/>
  <c r="Q70" i="1"/>
  <c r="Q49" i="1"/>
  <c r="Q43" i="1"/>
  <c r="Q46" i="1"/>
  <c r="O89" i="1"/>
  <c r="Q87" i="1"/>
  <c r="Q61" i="1"/>
  <c r="Q57" i="1"/>
  <c r="Q72" i="1"/>
  <c r="Q44" i="1"/>
  <c r="Q77" i="1"/>
  <c r="Q75" i="1"/>
  <c r="Q74" i="1"/>
  <c r="Q38" i="1"/>
  <c r="Q89" i="1"/>
  <c r="Q79" i="1"/>
  <c r="Q63" i="1"/>
  <c r="Q59" i="1"/>
  <c r="Q56" i="1"/>
  <c r="Q41" i="1"/>
  <c r="Q85" i="1"/>
  <c r="Q67" i="1"/>
  <c r="Q84" i="1"/>
  <c r="Q80" i="1"/>
  <c r="Q35" i="1"/>
  <c r="O35" i="1"/>
  <c r="Q66" i="1"/>
  <c r="Q62" i="1"/>
  <c r="Q58" i="1"/>
  <c r="Q76" i="1"/>
  <c r="Q55" i="1"/>
  <c r="Q47" i="1"/>
  <c r="Q52" i="1"/>
  <c r="Q86" i="1"/>
  <c r="Q78" i="1"/>
  <c r="Q54" i="1"/>
  <c r="Q81" i="1"/>
  <c r="Q53" i="1"/>
  <c r="Q42" i="1"/>
  <c r="Q73" i="1"/>
  <c r="Q36" i="1"/>
  <c r="Q65" i="1"/>
  <c r="Q48" i="1"/>
  <c r="Q39" i="1"/>
  <c r="Q50" i="1"/>
  <c r="O90" i="1"/>
  <c r="O34" i="1"/>
  <c r="Q90" i="1"/>
  <c r="Q34" i="1"/>
  <c r="Q33" i="1"/>
  <c r="Q91" i="1"/>
  <c r="O91" i="1"/>
  <c r="O33" i="1"/>
  <c r="Q92" i="1"/>
  <c r="O92" i="1"/>
  <c r="O32" i="1"/>
  <c r="Q32" i="1"/>
  <c r="O93" i="1"/>
  <c r="Q31" i="1"/>
  <c r="O31" i="1"/>
  <c r="Q93" i="1"/>
  <c r="Q94" i="1"/>
  <c r="O94" i="1"/>
  <c r="O30" i="1"/>
  <c r="Q30" i="1"/>
  <c r="O95" i="1"/>
  <c r="O29" i="1"/>
  <c r="Q29" i="1"/>
  <c r="Q95" i="1"/>
  <c r="Q96" i="1"/>
  <c r="O28" i="1"/>
  <c r="O96" i="1"/>
  <c r="Q28" i="1"/>
  <c r="O97" i="1"/>
  <c r="O98" i="1"/>
  <c r="Q27" i="1"/>
  <c r="Q98" i="1"/>
  <c r="O27" i="1"/>
  <c r="Q97" i="1"/>
  <c r="O26" i="1"/>
  <c r="Q26" i="1"/>
  <c r="Q25" i="1"/>
  <c r="O25" i="1"/>
  <c r="C94" i="9"/>
  <c r="I94" i="11"/>
  <c r="J26" i="9"/>
  <c r="K26" i="10"/>
  <c r="K26" i="11" s="1"/>
  <c r="H26" i="9"/>
  <c r="G26" i="9"/>
  <c r="I26" i="9"/>
  <c r="L26" i="11"/>
  <c r="Q17" i="1"/>
  <c r="L168" i="10"/>
  <c r="J215" i="10"/>
  <c r="L18" i="10" s="1"/>
  <c r="K66" i="8"/>
  <c r="G97" i="11" s="1"/>
  <c r="F97" i="11" s="1"/>
  <c r="G98" i="14"/>
  <c r="P95" i="10"/>
  <c r="F95" i="9"/>
  <c r="E95" i="9"/>
  <c r="D95" i="9"/>
  <c r="L17" i="14"/>
  <c r="J108" i="8"/>
  <c r="H66" i="8"/>
  <c r="D135" i="12" s="1"/>
  <c r="F135" i="12" s="1"/>
  <c r="E97" i="12"/>
  <c r="E98" i="12" s="1"/>
  <c r="E99" i="12" s="1"/>
  <c r="G47" i="12"/>
  <c r="F26" i="9"/>
  <c r="P26" i="10"/>
  <c r="E26" i="9"/>
  <c r="D26" i="9"/>
  <c r="J26" i="11"/>
  <c r="C65" i="8"/>
  <c r="H27" i="14"/>
  <c r="I97" i="12"/>
  <c r="K96" i="12"/>
  <c r="M96" i="12" s="1"/>
  <c r="L109" i="8"/>
  <c r="I67" i="8" s="1"/>
  <c r="M109" i="8"/>
  <c r="J67" i="8" s="1"/>
  <c r="K109" i="8"/>
  <c r="N109" i="8"/>
  <c r="M67" i="8" s="1"/>
  <c r="E64" i="8"/>
  <c r="C133" i="12" s="1"/>
  <c r="E133" i="12" s="1"/>
  <c r="D95" i="12" s="1"/>
  <c r="C93" i="9"/>
  <c r="I93" i="11"/>
  <c r="L65" i="8"/>
  <c r="D65" i="8" s="1"/>
  <c r="L96" i="10" s="1"/>
  <c r="L96" i="11" s="1"/>
  <c r="J95" i="11"/>
  <c r="H97" i="14"/>
  <c r="I97" i="14"/>
  <c r="D26" i="14"/>
  <c r="O17" i="1"/>
  <c r="B20" i="9"/>
  <c r="B18" i="1"/>
  <c r="K169" i="10"/>
  <c r="F216" i="10"/>
  <c r="E19" i="10" s="1"/>
  <c r="M27" i="13"/>
  <c r="O27" i="13"/>
  <c r="I98" i="14"/>
  <c r="H98" i="14"/>
  <c r="G28" i="14"/>
  <c r="I28" i="14" s="1"/>
  <c r="C95" i="12" l="1"/>
  <c r="L95" i="9" s="1"/>
  <c r="K95" i="9"/>
  <c r="H26" i="14"/>
  <c r="E19" i="9"/>
  <c r="F19" i="9"/>
  <c r="J19" i="11"/>
  <c r="C26" i="9"/>
  <c r="I26" i="11"/>
  <c r="J110" i="8"/>
  <c r="H68" i="8"/>
  <c r="D137" i="12" s="1"/>
  <c r="N7" i="13"/>
  <c r="I98" i="12"/>
  <c r="K97" i="12"/>
  <c r="M97" i="12" s="1"/>
  <c r="C17" i="13"/>
  <c r="C7" i="13"/>
  <c r="G7" i="13" s="1"/>
  <c r="K7" i="13" s="1"/>
  <c r="P44" i="1"/>
  <c r="P40" i="1"/>
  <c r="R6" i="1"/>
  <c r="P81" i="1"/>
  <c r="P74" i="1"/>
  <c r="P42" i="1"/>
  <c r="P38" i="1"/>
  <c r="J6" i="1"/>
  <c r="P84" i="1"/>
  <c r="P83" i="1"/>
  <c r="P6" i="1"/>
  <c r="P88" i="1"/>
  <c r="P87" i="1"/>
  <c r="P85" i="1"/>
  <c r="P75" i="1"/>
  <c r="P71" i="1"/>
  <c r="P67" i="1"/>
  <c r="P66" i="1"/>
  <c r="P64" i="1"/>
  <c r="P62" i="1"/>
  <c r="P60" i="1"/>
  <c r="P58" i="1"/>
  <c r="P45" i="1"/>
  <c r="P41" i="1"/>
  <c r="P37" i="1"/>
  <c r="P70" i="1"/>
  <c r="P46" i="1"/>
  <c r="P61" i="1"/>
  <c r="P50" i="1"/>
  <c r="P48" i="1"/>
  <c r="P47" i="1"/>
  <c r="P57" i="1"/>
  <c r="P82" i="1"/>
  <c r="P51" i="1"/>
  <c r="P76" i="1"/>
  <c r="P79" i="1"/>
  <c r="P39" i="1"/>
  <c r="P63" i="1"/>
  <c r="P49" i="1"/>
  <c r="P53" i="1"/>
  <c r="P78" i="1"/>
  <c r="P54" i="1"/>
  <c r="P77" i="1"/>
  <c r="P56" i="1"/>
  <c r="P68" i="1"/>
  <c r="P43" i="1"/>
  <c r="P65" i="1"/>
  <c r="P52" i="1"/>
  <c r="P72" i="1"/>
  <c r="P55" i="1"/>
  <c r="P59" i="1"/>
  <c r="P73" i="1"/>
  <c r="P80" i="1"/>
  <c r="P86" i="1"/>
  <c r="P69" i="1"/>
  <c r="R86" i="1"/>
  <c r="R82" i="1"/>
  <c r="R58" i="1"/>
  <c r="R77" i="1"/>
  <c r="R71" i="1"/>
  <c r="R63" i="1"/>
  <c r="R57" i="1"/>
  <c r="R67" i="1"/>
  <c r="R66" i="1"/>
  <c r="R80" i="1"/>
  <c r="R45" i="1"/>
  <c r="R36" i="1"/>
  <c r="R85" i="1"/>
  <c r="R72" i="1"/>
  <c r="R79" i="1"/>
  <c r="R87" i="1"/>
  <c r="R52" i="1"/>
  <c r="R49" i="1"/>
  <c r="R41" i="1"/>
  <c r="R69" i="1"/>
  <c r="R81" i="1"/>
  <c r="R38" i="1"/>
  <c r="R64" i="1"/>
  <c r="R88" i="1"/>
  <c r="R78" i="1"/>
  <c r="R56" i="1"/>
  <c r="R48" i="1"/>
  <c r="R51" i="1"/>
  <c r="R55" i="1"/>
  <c r="R54" i="1"/>
  <c r="R40" i="1"/>
  <c r="R59" i="1"/>
  <c r="R70" i="1"/>
  <c r="R46" i="1"/>
  <c r="R84" i="1"/>
  <c r="R74" i="1"/>
  <c r="R47" i="1"/>
  <c r="R53" i="1"/>
  <c r="R62" i="1"/>
  <c r="R39" i="1"/>
  <c r="R65" i="1"/>
  <c r="R83" i="1"/>
  <c r="R60" i="1"/>
  <c r="R68" i="1"/>
  <c r="R75" i="1"/>
  <c r="R43" i="1"/>
  <c r="R42" i="1"/>
  <c r="R76" i="1"/>
  <c r="P36" i="1"/>
  <c r="R44" i="1"/>
  <c r="R50" i="1"/>
  <c r="R37" i="1"/>
  <c r="R61" i="1"/>
  <c r="R73" i="1"/>
  <c r="P89" i="1"/>
  <c r="P35" i="1"/>
  <c r="R35" i="1"/>
  <c r="R89" i="1"/>
  <c r="R34" i="1"/>
  <c r="R90" i="1"/>
  <c r="P90" i="1"/>
  <c r="P34" i="1"/>
  <c r="P33" i="1"/>
  <c r="R91" i="1"/>
  <c r="R33" i="1"/>
  <c r="P91" i="1"/>
  <c r="R32" i="1"/>
  <c r="P92" i="1"/>
  <c r="R92" i="1"/>
  <c r="P32" i="1"/>
  <c r="R31" i="1"/>
  <c r="P93" i="1"/>
  <c r="P31" i="1"/>
  <c r="R93" i="1"/>
  <c r="P94" i="1"/>
  <c r="R94" i="1"/>
  <c r="P30" i="1"/>
  <c r="R30" i="1"/>
  <c r="R29" i="1"/>
  <c r="P29" i="1"/>
  <c r="P95" i="1"/>
  <c r="R95" i="1"/>
  <c r="P96" i="1"/>
  <c r="P28" i="1"/>
  <c r="R96" i="1"/>
  <c r="R28" i="1"/>
  <c r="P98" i="1"/>
  <c r="R98" i="1"/>
  <c r="R97" i="1"/>
  <c r="P27" i="1"/>
  <c r="P97" i="1"/>
  <c r="R27" i="1"/>
  <c r="R26" i="1"/>
  <c r="P26" i="1"/>
  <c r="P25" i="1"/>
  <c r="R25" i="1"/>
  <c r="B15" i="9"/>
  <c r="B13" i="1"/>
  <c r="F18" i="9"/>
  <c r="P18" i="10"/>
  <c r="J18" i="11"/>
  <c r="E18" i="9"/>
  <c r="D18" i="9"/>
  <c r="O68" i="8"/>
  <c r="N68" i="8"/>
  <c r="M163" i="10"/>
  <c r="N162" i="10"/>
  <c r="F210" i="10"/>
  <c r="E13" i="10" s="1"/>
  <c r="C17" i="14"/>
  <c r="N17" i="1"/>
  <c r="N8" i="13"/>
  <c r="K8" i="13"/>
  <c r="E96" i="10"/>
  <c r="E65" i="8"/>
  <c r="C134" i="12" s="1"/>
  <c r="E134" i="12" s="1"/>
  <c r="D96" i="12" s="1"/>
  <c r="C95" i="9"/>
  <c r="I95" i="11"/>
  <c r="L169" i="10"/>
  <c r="J216" i="10"/>
  <c r="L19" i="10" s="1"/>
  <c r="D19" i="9" s="1"/>
  <c r="K18" i="14"/>
  <c r="O18" i="1"/>
  <c r="E18" i="1"/>
  <c r="F18" i="1"/>
  <c r="Q18" i="1"/>
  <c r="I18" i="1"/>
  <c r="M18" i="1" s="1"/>
  <c r="M97" i="10"/>
  <c r="K16" i="14"/>
  <c r="O16" i="1"/>
  <c r="E16" i="1"/>
  <c r="F16" i="1"/>
  <c r="Q16" i="1"/>
  <c r="I16" i="1"/>
  <c r="M16" i="1" s="1"/>
  <c r="L12" i="14"/>
  <c r="L68" i="8"/>
  <c r="K68" i="8"/>
  <c r="G99" i="11" s="1"/>
  <c r="F99" i="11" s="1"/>
  <c r="M157" i="10"/>
  <c r="N156" i="10"/>
  <c r="F204" i="10"/>
  <c r="E7" i="10" s="1"/>
  <c r="R17" i="1"/>
  <c r="K67" i="8"/>
  <c r="G98" i="11" s="1"/>
  <c r="F98" i="11" s="1"/>
  <c r="J18" i="9"/>
  <c r="I18" i="9"/>
  <c r="H18" i="9"/>
  <c r="G18" i="9"/>
  <c r="K18" i="10"/>
  <c r="K18" i="11" s="1"/>
  <c r="L18" i="11"/>
  <c r="M6" i="1"/>
  <c r="M68" i="1"/>
  <c r="M84" i="1"/>
  <c r="M74" i="1"/>
  <c r="M70" i="1"/>
  <c r="M76" i="1"/>
  <c r="M80" i="1"/>
  <c r="M73" i="1"/>
  <c r="M69" i="1"/>
  <c r="M72" i="1"/>
  <c r="M38" i="1"/>
  <c r="M75" i="1"/>
  <c r="M86" i="1"/>
  <c r="M40" i="1"/>
  <c r="M48" i="1"/>
  <c r="M56" i="1"/>
  <c r="M78" i="1"/>
  <c r="M49" i="1"/>
  <c r="M82" i="1"/>
  <c r="M88" i="1"/>
  <c r="M63" i="1"/>
  <c r="M83" i="1"/>
  <c r="M58" i="1"/>
  <c r="M87" i="1"/>
  <c r="M53" i="1"/>
  <c r="M47" i="1"/>
  <c r="M81" i="1"/>
  <c r="M60" i="1"/>
  <c r="M46" i="1"/>
  <c r="M67" i="1"/>
  <c r="M85" i="1"/>
  <c r="M42" i="1"/>
  <c r="M50" i="1"/>
  <c r="M55" i="1"/>
  <c r="M43" i="1"/>
  <c r="M57" i="1"/>
  <c r="M65" i="1"/>
  <c r="M79" i="1"/>
  <c r="M62" i="1"/>
  <c r="M66" i="1"/>
  <c r="M71" i="1"/>
  <c r="M37" i="1"/>
  <c r="M45" i="1"/>
  <c r="M54" i="1"/>
  <c r="M77" i="1"/>
  <c r="M51" i="1"/>
  <c r="M39" i="1"/>
  <c r="M52" i="1"/>
  <c r="M44" i="1"/>
  <c r="M59" i="1"/>
  <c r="M41" i="1"/>
  <c r="M61" i="1"/>
  <c r="M64" i="1"/>
  <c r="M36" i="1"/>
  <c r="M89" i="1"/>
  <c r="M35" i="1"/>
  <c r="M34" i="1"/>
  <c r="M90" i="1"/>
  <c r="M33" i="1"/>
  <c r="M91" i="1"/>
  <c r="M32" i="1"/>
  <c r="M92" i="1"/>
  <c r="M31" i="1"/>
  <c r="M93" i="1"/>
  <c r="M94" i="1"/>
  <c r="M30" i="1"/>
  <c r="M95" i="1"/>
  <c r="M29" i="1"/>
  <c r="M28" i="1"/>
  <c r="M96" i="1"/>
  <c r="M27" i="1"/>
  <c r="M98" i="1"/>
  <c r="M97" i="1"/>
  <c r="M26" i="1"/>
  <c r="M25" i="1"/>
  <c r="M12" i="1"/>
  <c r="D25" i="14"/>
  <c r="K170" i="10"/>
  <c r="F217" i="10"/>
  <c r="E20" i="10" s="1"/>
  <c r="C67" i="8"/>
  <c r="H96" i="9"/>
  <c r="K96" i="10"/>
  <c r="K96" i="11" s="1"/>
  <c r="G96" i="9"/>
  <c r="J96" i="9"/>
  <c r="I96" i="9"/>
  <c r="O67" i="8"/>
  <c r="N67" i="8"/>
  <c r="G27" i="14"/>
  <c r="I27" i="14" s="1"/>
  <c r="C66" i="8"/>
  <c r="B21" i="9"/>
  <c r="B19" i="1"/>
  <c r="J109" i="8"/>
  <c r="H67" i="8"/>
  <c r="D136" i="12" s="1"/>
  <c r="F136" i="12" s="1"/>
  <c r="J98" i="12"/>
  <c r="J99" i="12" s="1"/>
  <c r="G46" i="12"/>
  <c r="L66" i="8"/>
  <c r="D66" i="8" s="1"/>
  <c r="L97" i="10" s="1"/>
  <c r="B8" i="9"/>
  <c r="R12" i="1"/>
  <c r="J12" i="1"/>
  <c r="P12" i="1"/>
  <c r="C68" i="8"/>
  <c r="P17" i="1"/>
  <c r="O30" i="13"/>
  <c r="M30" i="13"/>
  <c r="J174" i="12"/>
  <c r="H49" i="12"/>
  <c r="K49" i="12" s="1"/>
  <c r="M49" i="12" s="1"/>
  <c r="M7" i="13" l="1"/>
  <c r="O7" i="13"/>
  <c r="C96" i="12"/>
  <c r="L96" i="9" s="1"/>
  <c r="K96" i="9"/>
  <c r="C12" i="14"/>
  <c r="N12" i="1"/>
  <c r="M98" i="10"/>
  <c r="M158" i="10"/>
  <c r="F205" i="10"/>
  <c r="E8" i="10" s="1"/>
  <c r="M8" i="13"/>
  <c r="O8" i="13"/>
  <c r="E13" i="9"/>
  <c r="F13" i="9"/>
  <c r="C18" i="9"/>
  <c r="I18" i="11"/>
  <c r="C29" i="13"/>
  <c r="G17" i="13"/>
  <c r="K19" i="14"/>
  <c r="Q19" i="1"/>
  <c r="I19" i="1"/>
  <c r="M19" i="1" s="1"/>
  <c r="F19" i="1"/>
  <c r="O19" i="1"/>
  <c r="E19" i="1"/>
  <c r="F20" i="9"/>
  <c r="E20" i="9"/>
  <c r="J20" i="11"/>
  <c r="L99" i="11"/>
  <c r="J99" i="11"/>
  <c r="M99" i="10"/>
  <c r="M18" i="14"/>
  <c r="L18" i="14"/>
  <c r="N163" i="10"/>
  <c r="J210" i="10"/>
  <c r="L13" i="10" s="1"/>
  <c r="D13" i="9" s="1"/>
  <c r="E99" i="10"/>
  <c r="B22" i="9"/>
  <c r="B20" i="1"/>
  <c r="K171" i="10"/>
  <c r="F218" i="10"/>
  <c r="E21" i="10" s="1"/>
  <c r="F7" i="9"/>
  <c r="E7" i="9"/>
  <c r="D68" i="8"/>
  <c r="L99" i="10" s="1"/>
  <c r="L16" i="14"/>
  <c r="M17" i="14"/>
  <c r="R18" i="1"/>
  <c r="J18" i="1"/>
  <c r="P18" i="1"/>
  <c r="G19" i="9"/>
  <c r="K19" i="10"/>
  <c r="K19" i="11" s="1"/>
  <c r="J19" i="9"/>
  <c r="I19" i="9"/>
  <c r="H19" i="9"/>
  <c r="L19" i="11"/>
  <c r="M164" i="10"/>
  <c r="F211" i="10"/>
  <c r="E14" i="10" s="1"/>
  <c r="K13" i="14"/>
  <c r="Q13" i="1"/>
  <c r="I13" i="1"/>
  <c r="M13" i="1" s="1"/>
  <c r="F13" i="1"/>
  <c r="O13" i="1"/>
  <c r="E13" i="1"/>
  <c r="I99" i="12"/>
  <c r="K99" i="12" s="1"/>
  <c r="M99" i="12" s="1"/>
  <c r="K98" i="12"/>
  <c r="M98" i="12" s="1"/>
  <c r="F137" i="12"/>
  <c r="P19" i="10"/>
  <c r="G45" i="12"/>
  <c r="E98" i="10"/>
  <c r="J98" i="11" s="1"/>
  <c r="J173" i="12"/>
  <c r="H48" i="12"/>
  <c r="K48" i="12" s="1"/>
  <c r="M48" i="12" s="1"/>
  <c r="B9" i="9"/>
  <c r="B7" i="1"/>
  <c r="K97" i="10"/>
  <c r="K97" i="11" s="1"/>
  <c r="I97" i="9"/>
  <c r="H97" i="9"/>
  <c r="G97" i="9"/>
  <c r="J97" i="9"/>
  <c r="E97" i="10"/>
  <c r="E66" i="8"/>
  <c r="C135" i="12" s="1"/>
  <c r="E135" i="12" s="1"/>
  <c r="D97" i="12" s="1"/>
  <c r="L67" i="8"/>
  <c r="D67" i="8" s="1"/>
  <c r="L98" i="10" s="1"/>
  <c r="L98" i="11" s="1"/>
  <c r="N157" i="10"/>
  <c r="J204" i="10"/>
  <c r="L7" i="10" s="1"/>
  <c r="P7" i="10" s="1"/>
  <c r="C7" i="9" s="1"/>
  <c r="R16" i="1"/>
  <c r="J16" i="1"/>
  <c r="P16" i="1"/>
  <c r="L97" i="11"/>
  <c r="L170" i="10"/>
  <c r="J217" i="10"/>
  <c r="L20" i="10" s="1"/>
  <c r="P20" i="10" s="1"/>
  <c r="P96" i="10"/>
  <c r="D96" i="9"/>
  <c r="F96" i="9"/>
  <c r="E96" i="9"/>
  <c r="J96" i="11"/>
  <c r="D17" i="14"/>
  <c r="B16" i="9"/>
  <c r="B14" i="1"/>
  <c r="C6" i="14"/>
  <c r="D6" i="14" s="1"/>
  <c r="N6" i="1"/>
  <c r="N52" i="1"/>
  <c r="N47" i="1"/>
  <c r="N51" i="1"/>
  <c r="N55" i="1"/>
  <c r="N60" i="1"/>
  <c r="N64" i="1"/>
  <c r="N38" i="1"/>
  <c r="N46" i="1"/>
  <c r="N40" i="1"/>
  <c r="N85" i="1"/>
  <c r="N86" i="1"/>
  <c r="N50" i="1"/>
  <c r="N37" i="1"/>
  <c r="N56" i="1"/>
  <c r="N78" i="1"/>
  <c r="N44" i="1"/>
  <c r="N53" i="1"/>
  <c r="N58" i="1"/>
  <c r="N87" i="1"/>
  <c r="N77" i="1"/>
  <c r="N81" i="1"/>
  <c r="N49" i="1"/>
  <c r="N83" i="1"/>
  <c r="N41" i="1"/>
  <c r="N82" i="1"/>
  <c r="N54" i="1"/>
  <c r="N62" i="1"/>
  <c r="N66" i="1"/>
  <c r="N48" i="1"/>
  <c r="N45" i="1"/>
  <c r="N63" i="1"/>
  <c r="N42" i="1"/>
  <c r="N75" i="1"/>
  <c r="N39" i="1"/>
  <c r="N61" i="1"/>
  <c r="N69" i="1"/>
  <c r="N80" i="1"/>
  <c r="N84" i="1"/>
  <c r="N73" i="1"/>
  <c r="N68" i="1"/>
  <c r="N70" i="1"/>
  <c r="N43" i="1"/>
  <c r="N76" i="1"/>
  <c r="N74" i="1"/>
  <c r="N88" i="1"/>
  <c r="N57" i="1"/>
  <c r="N59" i="1"/>
  <c r="N67" i="1"/>
  <c r="N79" i="1"/>
  <c r="N72" i="1"/>
  <c r="N71" i="1"/>
  <c r="N65" i="1"/>
  <c r="N36" i="1"/>
  <c r="N35" i="1"/>
  <c r="N89" i="1"/>
  <c r="N90" i="1"/>
  <c r="N34" i="1"/>
  <c r="N91" i="1"/>
  <c r="N33" i="1"/>
  <c r="N32" i="1"/>
  <c r="N92" i="1"/>
  <c r="N93" i="1"/>
  <c r="N31" i="1"/>
  <c r="N94" i="1"/>
  <c r="N30" i="1"/>
  <c r="N29" i="1"/>
  <c r="N95" i="1"/>
  <c r="N28" i="1"/>
  <c r="N96" i="1"/>
  <c r="N98" i="1"/>
  <c r="N27" i="1"/>
  <c r="N97" i="1"/>
  <c r="N26" i="1"/>
  <c r="N25" i="1"/>
  <c r="G26" i="14"/>
  <c r="I26" i="14" s="1"/>
  <c r="C20" i="9" l="1"/>
  <c r="I20" i="11"/>
  <c r="D98" i="12"/>
  <c r="C97" i="12"/>
  <c r="L97" i="9" s="1"/>
  <c r="K97" i="9"/>
  <c r="C16" i="14"/>
  <c r="N16" i="1"/>
  <c r="H47" i="12"/>
  <c r="K47" i="12" s="1"/>
  <c r="M47" i="12" s="1"/>
  <c r="J172" i="12"/>
  <c r="M165" i="10"/>
  <c r="F212" i="10"/>
  <c r="E15" i="10" s="1"/>
  <c r="K20" i="14"/>
  <c r="O20" i="1"/>
  <c r="E20" i="1"/>
  <c r="F20" i="1"/>
  <c r="Q20" i="1"/>
  <c r="I20" i="1"/>
  <c r="M20" i="1" s="1"/>
  <c r="L171" i="10"/>
  <c r="J218" i="10"/>
  <c r="L21" i="10" s="1"/>
  <c r="K7" i="14"/>
  <c r="Q7" i="1"/>
  <c r="I7" i="1"/>
  <c r="M7" i="1" s="1"/>
  <c r="E7" i="1"/>
  <c r="F7" i="1"/>
  <c r="O7" i="1"/>
  <c r="E67" i="8"/>
  <c r="C136" i="12" s="1"/>
  <c r="E136" i="12" s="1"/>
  <c r="C19" i="9"/>
  <c r="I19" i="11"/>
  <c r="K99" i="10"/>
  <c r="K99" i="11" s="1"/>
  <c r="G99" i="9"/>
  <c r="J99" i="9"/>
  <c r="I99" i="9"/>
  <c r="H99" i="9"/>
  <c r="B21" i="1"/>
  <c r="B23" i="9"/>
  <c r="N164" i="10"/>
  <c r="J211" i="10"/>
  <c r="L14" i="10" s="1"/>
  <c r="C31" i="13"/>
  <c r="G29" i="13"/>
  <c r="P13" i="10"/>
  <c r="C13" i="9" s="1"/>
  <c r="H20" i="9"/>
  <c r="K20" i="10"/>
  <c r="K20" i="11" s="1"/>
  <c r="I20" i="9"/>
  <c r="G20" i="9"/>
  <c r="J20" i="9"/>
  <c r="L20" i="11"/>
  <c r="P19" i="1"/>
  <c r="R19" i="1"/>
  <c r="J19" i="1"/>
  <c r="G7" i="9"/>
  <c r="J7" i="9"/>
  <c r="I7" i="9"/>
  <c r="H7" i="9"/>
  <c r="B10" i="9"/>
  <c r="B8" i="1"/>
  <c r="P98" i="10"/>
  <c r="F98" i="9"/>
  <c r="E98" i="9"/>
  <c r="D98" i="9"/>
  <c r="M13" i="14"/>
  <c r="L13" i="14"/>
  <c r="D7" i="9"/>
  <c r="E21" i="9"/>
  <c r="F21" i="9"/>
  <c r="D21" i="9"/>
  <c r="J21" i="11"/>
  <c r="E68" i="8"/>
  <c r="C137" i="12" s="1"/>
  <c r="E137" i="12" s="1"/>
  <c r="D8" i="9"/>
  <c r="E8" i="9"/>
  <c r="F8" i="9"/>
  <c r="D12" i="14"/>
  <c r="B17" i="9"/>
  <c r="B15" i="1"/>
  <c r="K98" i="10"/>
  <c r="K98" i="11" s="1"/>
  <c r="J98" i="9"/>
  <c r="I98" i="9"/>
  <c r="H98" i="9"/>
  <c r="G98" i="9"/>
  <c r="G44" i="12"/>
  <c r="C18" i="14"/>
  <c r="N18" i="1"/>
  <c r="I13" i="9"/>
  <c r="J13" i="9"/>
  <c r="H13" i="9"/>
  <c r="G13" i="9"/>
  <c r="D20" i="9"/>
  <c r="K17" i="13"/>
  <c r="N17" i="13"/>
  <c r="K14" i="14"/>
  <c r="O14" i="1"/>
  <c r="E14" i="1"/>
  <c r="Q14" i="1"/>
  <c r="I14" i="1"/>
  <c r="M14" i="1" s="1"/>
  <c r="F14" i="1"/>
  <c r="C96" i="9"/>
  <c r="I96" i="11"/>
  <c r="N158" i="10"/>
  <c r="J205" i="10"/>
  <c r="L8" i="10" s="1"/>
  <c r="P8" i="10" s="1"/>
  <c r="C8" i="9" s="1"/>
  <c r="P97" i="10"/>
  <c r="E97" i="9"/>
  <c r="D97" i="9"/>
  <c r="F97" i="9"/>
  <c r="J97" i="11"/>
  <c r="R13" i="1"/>
  <c r="P13" i="1"/>
  <c r="J13" i="1"/>
  <c r="F14" i="9"/>
  <c r="P14" i="10"/>
  <c r="C14" i="9" s="1"/>
  <c r="D14" i="9"/>
  <c r="E14" i="9"/>
  <c r="K172" i="10"/>
  <c r="F219" i="10"/>
  <c r="E22" i="10" s="1"/>
  <c r="P99" i="10"/>
  <c r="F99" i="9"/>
  <c r="E99" i="9"/>
  <c r="D99" i="9"/>
  <c r="L19" i="14"/>
  <c r="M19" i="14"/>
  <c r="M159" i="10"/>
  <c r="F206" i="10"/>
  <c r="E9" i="10" s="1"/>
  <c r="M14" i="14" l="1"/>
  <c r="L14" i="14"/>
  <c r="N29" i="13"/>
  <c r="K29" i="13"/>
  <c r="K21" i="10"/>
  <c r="K21" i="11" s="1"/>
  <c r="I21" i="9"/>
  <c r="G21" i="9"/>
  <c r="J21" i="9"/>
  <c r="H21" i="9"/>
  <c r="L21" i="11"/>
  <c r="E9" i="9"/>
  <c r="F9" i="9"/>
  <c r="F22" i="9"/>
  <c r="E22" i="9"/>
  <c r="J22" i="11"/>
  <c r="G31" i="13"/>
  <c r="C32" i="13"/>
  <c r="G32" i="13" s="1"/>
  <c r="K21" i="14"/>
  <c r="Q21" i="1"/>
  <c r="I21" i="1"/>
  <c r="M21" i="1" s="1"/>
  <c r="F21" i="1"/>
  <c r="O21" i="1"/>
  <c r="E21" i="1"/>
  <c r="L172" i="10"/>
  <c r="J219" i="10"/>
  <c r="L22" i="10" s="1"/>
  <c r="D22" i="9" s="1"/>
  <c r="J20" i="1"/>
  <c r="P20" i="1"/>
  <c r="R20" i="1"/>
  <c r="F15" i="9"/>
  <c r="E15" i="9"/>
  <c r="D99" i="12"/>
  <c r="C98" i="12"/>
  <c r="L98" i="9" s="1"/>
  <c r="K98" i="9"/>
  <c r="N159" i="10"/>
  <c r="J206" i="10"/>
  <c r="L9" i="10" s="1"/>
  <c r="D9" i="9" s="1"/>
  <c r="B24" i="9"/>
  <c r="B22" i="1"/>
  <c r="M160" i="10"/>
  <c r="F207" i="10"/>
  <c r="E10" i="10" s="1"/>
  <c r="K173" i="10"/>
  <c r="F220" i="10"/>
  <c r="E23" i="10" s="1"/>
  <c r="C97" i="9"/>
  <c r="I97" i="11"/>
  <c r="M17" i="13"/>
  <c r="O17" i="13"/>
  <c r="F18" i="14"/>
  <c r="D18" i="14"/>
  <c r="G18" i="14" s="1"/>
  <c r="K15" i="14"/>
  <c r="Q15" i="1"/>
  <c r="I15" i="1"/>
  <c r="M15" i="1" s="1"/>
  <c r="F15" i="1"/>
  <c r="E15" i="1"/>
  <c r="O15" i="1"/>
  <c r="P21" i="10"/>
  <c r="C98" i="9"/>
  <c r="I98" i="11"/>
  <c r="C19" i="14"/>
  <c r="N19" i="1"/>
  <c r="J14" i="9"/>
  <c r="I14" i="9"/>
  <c r="H14" i="9"/>
  <c r="G14" i="9"/>
  <c r="M166" i="10"/>
  <c r="F214" i="10" s="1"/>
  <c r="E17" i="10" s="1"/>
  <c r="F213" i="10"/>
  <c r="E16" i="10" s="1"/>
  <c r="D16" i="14"/>
  <c r="F17" i="14"/>
  <c r="C99" i="9"/>
  <c r="I99" i="11"/>
  <c r="B11" i="9"/>
  <c r="B9" i="1"/>
  <c r="M20" i="14"/>
  <c r="L20" i="14"/>
  <c r="C13" i="14"/>
  <c r="N13" i="1"/>
  <c r="H8" i="9"/>
  <c r="J8" i="9"/>
  <c r="I8" i="9"/>
  <c r="G8" i="9"/>
  <c r="R14" i="1"/>
  <c r="J14" i="1"/>
  <c r="P14" i="1"/>
  <c r="K8" i="14"/>
  <c r="O8" i="1"/>
  <c r="E8" i="1"/>
  <c r="I8" i="1"/>
  <c r="M8" i="1" s="1"/>
  <c r="F8" i="1"/>
  <c r="Q8" i="1"/>
  <c r="N165" i="10"/>
  <c r="J212" i="10"/>
  <c r="L15" i="10" s="1"/>
  <c r="P15" i="10" s="1"/>
  <c r="C15" i="9" s="1"/>
  <c r="R7" i="1"/>
  <c r="P7" i="1"/>
  <c r="J7" i="1"/>
  <c r="M7" i="14"/>
  <c r="L7" i="14"/>
  <c r="J171" i="12"/>
  <c r="H46" i="12"/>
  <c r="K46" i="12" s="1"/>
  <c r="M46" i="12" s="1"/>
  <c r="K9" i="14" l="1"/>
  <c r="Q9" i="1"/>
  <c r="I9" i="1"/>
  <c r="M9" i="1" s="1"/>
  <c r="F9" i="1"/>
  <c r="E9" i="1"/>
  <c r="O9" i="1"/>
  <c r="H17" i="14"/>
  <c r="L15" i="14"/>
  <c r="M15" i="14"/>
  <c r="M16" i="14"/>
  <c r="B25" i="9"/>
  <c r="B23" i="1"/>
  <c r="C7" i="14"/>
  <c r="N7" i="1"/>
  <c r="N166" i="10"/>
  <c r="J214" i="10" s="1"/>
  <c r="L17" i="10" s="1"/>
  <c r="J213" i="10"/>
  <c r="L16" i="10" s="1"/>
  <c r="C14" i="14"/>
  <c r="N14" i="1"/>
  <c r="F13" i="14"/>
  <c r="D13" i="14"/>
  <c r="G13" i="14" s="1"/>
  <c r="B10" i="1"/>
  <c r="B12" i="9"/>
  <c r="B11" i="1" s="1"/>
  <c r="G17" i="14"/>
  <c r="I17" i="14" s="1"/>
  <c r="P15" i="1"/>
  <c r="R15" i="1"/>
  <c r="J15" i="1"/>
  <c r="F10" i="9"/>
  <c r="E10" i="9"/>
  <c r="D10" i="9"/>
  <c r="D15" i="9"/>
  <c r="C20" i="14"/>
  <c r="N20" i="1"/>
  <c r="M21" i="14"/>
  <c r="L21" i="14"/>
  <c r="K174" i="10"/>
  <c r="F222" i="10" s="1"/>
  <c r="E25" i="10" s="1"/>
  <c r="F221" i="10"/>
  <c r="E24" i="10" s="1"/>
  <c r="J170" i="12"/>
  <c r="H44" i="12" s="1"/>
  <c r="K44" i="12" s="1"/>
  <c r="M44" i="12" s="1"/>
  <c r="H45" i="12"/>
  <c r="K45" i="12" s="1"/>
  <c r="M45" i="12" s="1"/>
  <c r="I21" i="11"/>
  <c r="C21" i="9"/>
  <c r="I18" i="14"/>
  <c r="H18" i="14"/>
  <c r="M161" i="10"/>
  <c r="F209" i="10" s="1"/>
  <c r="E12" i="10" s="1"/>
  <c r="F208" i="10"/>
  <c r="E11" i="10" s="1"/>
  <c r="I9" i="9"/>
  <c r="H9" i="9"/>
  <c r="G9" i="9"/>
  <c r="J9" i="9"/>
  <c r="C99" i="12"/>
  <c r="L99" i="9" s="1"/>
  <c r="K99" i="9"/>
  <c r="J22" i="9"/>
  <c r="K22" i="10"/>
  <c r="K22" i="11" s="1"/>
  <c r="G22" i="9"/>
  <c r="I22" i="9"/>
  <c r="H22" i="9"/>
  <c r="L22" i="11"/>
  <c r="P21" i="1"/>
  <c r="R21" i="1"/>
  <c r="J21" i="1"/>
  <c r="N32" i="13"/>
  <c r="K32" i="13"/>
  <c r="G15" i="9"/>
  <c r="I15" i="9"/>
  <c r="H15" i="9"/>
  <c r="J15" i="9"/>
  <c r="E17" i="9"/>
  <c r="F17" i="9"/>
  <c r="R8" i="1"/>
  <c r="J8" i="1"/>
  <c r="P8" i="1"/>
  <c r="M8" i="14"/>
  <c r="L8" i="14"/>
  <c r="P16" i="10"/>
  <c r="C16" i="9" s="1"/>
  <c r="D16" i="9"/>
  <c r="F16" i="9"/>
  <c r="E16" i="9"/>
  <c r="D19" i="14"/>
  <c r="G19" i="14" s="1"/>
  <c r="F19" i="14"/>
  <c r="F23" i="9"/>
  <c r="E23" i="9"/>
  <c r="J23" i="11"/>
  <c r="K22" i="14"/>
  <c r="O22" i="1"/>
  <c r="E22" i="1"/>
  <c r="I22" i="1"/>
  <c r="M22" i="1" s="1"/>
  <c r="Q22" i="1"/>
  <c r="F22" i="1"/>
  <c r="N160" i="10"/>
  <c r="J207" i="10"/>
  <c r="L10" i="10" s="1"/>
  <c r="L173" i="10"/>
  <c r="J220" i="10"/>
  <c r="L23" i="10" s="1"/>
  <c r="K31" i="13"/>
  <c r="N31" i="13"/>
  <c r="P22" i="10"/>
  <c r="P9" i="10"/>
  <c r="C9" i="9" s="1"/>
  <c r="O29" i="13"/>
  <c r="M29" i="13"/>
  <c r="G23" i="9" l="1"/>
  <c r="K23" i="10"/>
  <c r="K23" i="11" s="1"/>
  <c r="J23" i="9"/>
  <c r="I23" i="9"/>
  <c r="H23" i="9"/>
  <c r="L23" i="11"/>
  <c r="C15" i="14"/>
  <c r="N15" i="1"/>
  <c r="I13" i="14"/>
  <c r="H13" i="14"/>
  <c r="B26" i="9"/>
  <c r="B24" i="1"/>
  <c r="L174" i="10"/>
  <c r="J222" i="10" s="1"/>
  <c r="L25" i="10" s="1"/>
  <c r="J221" i="10"/>
  <c r="L24" i="10" s="1"/>
  <c r="M22" i="14"/>
  <c r="L22" i="14"/>
  <c r="C21" i="14"/>
  <c r="N21" i="1"/>
  <c r="F11" i="9"/>
  <c r="E11" i="9"/>
  <c r="P24" i="10"/>
  <c r="D24" i="9"/>
  <c r="J24" i="11"/>
  <c r="E24" i="9"/>
  <c r="F24" i="9"/>
  <c r="K11" i="14"/>
  <c r="Q11" i="1"/>
  <c r="I11" i="1"/>
  <c r="M11" i="1" s="1"/>
  <c r="E11" i="1"/>
  <c r="F11" i="1"/>
  <c r="O11" i="1"/>
  <c r="R22" i="1"/>
  <c r="J22" i="1"/>
  <c r="P22" i="1"/>
  <c r="C8" i="14"/>
  <c r="N8" i="1"/>
  <c r="I17" i="9"/>
  <c r="J17" i="9"/>
  <c r="H17" i="9"/>
  <c r="G17" i="9"/>
  <c r="H17" i="11"/>
  <c r="K17" i="10" s="1"/>
  <c r="C22" i="9"/>
  <c r="I22" i="11"/>
  <c r="J10" i="9"/>
  <c r="H10" i="9"/>
  <c r="G10" i="9"/>
  <c r="I10" i="9"/>
  <c r="P17" i="10"/>
  <c r="C17" i="9" s="1"/>
  <c r="F12" i="9"/>
  <c r="E12" i="9"/>
  <c r="E25" i="9"/>
  <c r="P25" i="10"/>
  <c r="F25" i="9"/>
  <c r="D25" i="9"/>
  <c r="J25" i="11"/>
  <c r="F20" i="14"/>
  <c r="D20" i="14"/>
  <c r="G20" i="14" s="1"/>
  <c r="P10" i="10"/>
  <c r="C10" i="9" s="1"/>
  <c r="K10" i="14"/>
  <c r="O10" i="1"/>
  <c r="E10" i="1"/>
  <c r="Q10" i="1"/>
  <c r="I10" i="1"/>
  <c r="M10" i="1" s="1"/>
  <c r="F10" i="1"/>
  <c r="F14" i="14"/>
  <c r="D14" i="14"/>
  <c r="G14" i="14" s="1"/>
  <c r="F7" i="14"/>
  <c r="D7" i="14"/>
  <c r="G7" i="14" s="1"/>
  <c r="R9" i="1"/>
  <c r="P9" i="1"/>
  <c r="J9" i="1"/>
  <c r="P23" i="10"/>
  <c r="O31" i="13"/>
  <c r="M31" i="13"/>
  <c r="N161" i="10"/>
  <c r="J209" i="10" s="1"/>
  <c r="L12" i="10" s="1"/>
  <c r="D12" i="9" s="1"/>
  <c r="J208" i="10"/>
  <c r="L11" i="10" s="1"/>
  <c r="D11" i="9" s="1"/>
  <c r="D23" i="9"/>
  <c r="H19" i="14"/>
  <c r="I19" i="14"/>
  <c r="D17" i="9"/>
  <c r="M32" i="13"/>
  <c r="O32" i="13"/>
  <c r="H16" i="9"/>
  <c r="G16" i="9"/>
  <c r="J16" i="9"/>
  <c r="I16" i="9"/>
  <c r="K23" i="14"/>
  <c r="F23" i="1"/>
  <c r="O23" i="1"/>
  <c r="Q23" i="1"/>
  <c r="I23" i="1"/>
  <c r="M23" i="1" s="1"/>
  <c r="E23" i="1"/>
  <c r="L9" i="14"/>
  <c r="M9" i="14"/>
  <c r="L11" i="14" l="1"/>
  <c r="M11" i="14"/>
  <c r="M12" i="14"/>
  <c r="K24" i="14"/>
  <c r="Q24" i="1"/>
  <c r="E24" i="1"/>
  <c r="O24" i="1"/>
  <c r="I24" i="1"/>
  <c r="M24" i="1" s="1"/>
  <c r="F24" i="1"/>
  <c r="I14" i="14"/>
  <c r="H14" i="14"/>
  <c r="C22" i="14"/>
  <c r="N22" i="1"/>
  <c r="C24" i="9"/>
  <c r="I24" i="11"/>
  <c r="P11" i="10"/>
  <c r="C11" i="9" s="1"/>
  <c r="D15" i="14"/>
  <c r="F15" i="14"/>
  <c r="F16" i="14"/>
  <c r="H16" i="11"/>
  <c r="F17" i="11"/>
  <c r="P23" i="1"/>
  <c r="J23" i="1"/>
  <c r="R23" i="1"/>
  <c r="R10" i="1"/>
  <c r="P10" i="1"/>
  <c r="J10" i="1"/>
  <c r="I20" i="14"/>
  <c r="H20" i="14"/>
  <c r="C25" i="9"/>
  <c r="I25" i="11"/>
  <c r="H24" i="9"/>
  <c r="K24" i="10"/>
  <c r="K24" i="11" s="1"/>
  <c r="J24" i="9"/>
  <c r="I24" i="9"/>
  <c r="G24" i="9"/>
  <c r="L24" i="11"/>
  <c r="P11" i="1"/>
  <c r="R11" i="1"/>
  <c r="J11" i="1"/>
  <c r="L23" i="14"/>
  <c r="M23" i="14"/>
  <c r="G11" i="9"/>
  <c r="H11" i="9"/>
  <c r="J11" i="9"/>
  <c r="I11" i="9"/>
  <c r="C23" i="9"/>
  <c r="I23" i="11"/>
  <c r="H12" i="9"/>
  <c r="J12" i="9"/>
  <c r="I12" i="9"/>
  <c r="G12" i="9"/>
  <c r="C9" i="14"/>
  <c r="N9" i="1"/>
  <c r="I7" i="14"/>
  <c r="H7" i="14"/>
  <c r="M10" i="14"/>
  <c r="L10" i="14"/>
  <c r="P12" i="10"/>
  <c r="C12" i="9" s="1"/>
  <c r="F8" i="14"/>
  <c r="D8" i="14"/>
  <c r="G8" i="14" s="1"/>
  <c r="F21" i="14"/>
  <c r="D21" i="14"/>
  <c r="G21" i="14" s="1"/>
  <c r="K25" i="10"/>
  <c r="K25" i="11" s="1"/>
  <c r="I25" i="9"/>
  <c r="L25" i="11"/>
  <c r="H25" i="9"/>
  <c r="G25" i="9"/>
  <c r="J25" i="9"/>
  <c r="F22" i="14" l="1"/>
  <c r="D22" i="14"/>
  <c r="G22" i="14" s="1"/>
  <c r="F9" i="14"/>
  <c r="D9" i="14"/>
  <c r="G9" i="14" s="1"/>
  <c r="C10" i="14"/>
  <c r="N10" i="1"/>
  <c r="C23" i="14"/>
  <c r="N23" i="1"/>
  <c r="H16" i="14"/>
  <c r="I21" i="14"/>
  <c r="H21" i="14"/>
  <c r="H15" i="14"/>
  <c r="C11" i="14"/>
  <c r="N11" i="1"/>
  <c r="F16" i="11"/>
  <c r="H15" i="11"/>
  <c r="K16" i="10"/>
  <c r="M24" i="14"/>
  <c r="L24" i="14"/>
  <c r="M25" i="14"/>
  <c r="I8" i="14"/>
  <c r="H8" i="14"/>
  <c r="J17" i="11"/>
  <c r="K17" i="11"/>
  <c r="I17" i="11"/>
  <c r="L17" i="11"/>
  <c r="M17" i="10"/>
  <c r="G15" i="14"/>
  <c r="I15" i="14" s="1"/>
  <c r="G16" i="14"/>
  <c r="I16" i="14" s="1"/>
  <c r="R24" i="1"/>
  <c r="J24" i="1"/>
  <c r="P24" i="1"/>
  <c r="D11" i="14" l="1"/>
  <c r="F11" i="14"/>
  <c r="F12" i="14"/>
  <c r="D23" i="14"/>
  <c r="G23" i="14" s="1"/>
  <c r="F23" i="14"/>
  <c r="H9" i="14"/>
  <c r="I9" i="14"/>
  <c r="H14" i="11"/>
  <c r="F15" i="11"/>
  <c r="K15" i="10"/>
  <c r="C24" i="14"/>
  <c r="N24" i="1"/>
  <c r="L16" i="11"/>
  <c r="K16" i="11"/>
  <c r="J16" i="11"/>
  <c r="I16" i="11"/>
  <c r="M16" i="10"/>
  <c r="F10" i="14"/>
  <c r="D10" i="14"/>
  <c r="G10" i="14" s="1"/>
  <c r="I22" i="14"/>
  <c r="H22" i="14"/>
  <c r="F24" i="14" l="1"/>
  <c r="D24" i="14"/>
  <c r="F25" i="14"/>
  <c r="I12" i="14"/>
  <c r="H12" i="14"/>
  <c r="I10" i="14"/>
  <c r="H10" i="14"/>
  <c r="H11" i="14"/>
  <c r="F14" i="11"/>
  <c r="H13" i="11"/>
  <c r="K14" i="10"/>
  <c r="J15" i="11"/>
  <c r="L15" i="11"/>
  <c r="K15" i="11"/>
  <c r="I15" i="11"/>
  <c r="M15" i="10"/>
  <c r="H23" i="14"/>
  <c r="I23" i="14"/>
  <c r="G11" i="14"/>
  <c r="I11" i="14" s="1"/>
  <c r="G12" i="14"/>
  <c r="H12" i="11" l="1"/>
  <c r="F13" i="11"/>
  <c r="K13" i="10"/>
  <c r="H25" i="14"/>
  <c r="L14" i="11"/>
  <c r="K14" i="11"/>
  <c r="J14" i="11"/>
  <c r="M14" i="10"/>
  <c r="I14" i="11"/>
  <c r="G24" i="14"/>
  <c r="I24" i="14" s="1"/>
  <c r="G25" i="14"/>
  <c r="I25" i="14" s="1"/>
  <c r="H24" i="14"/>
  <c r="J13" i="11" l="1"/>
  <c r="L13" i="11"/>
  <c r="K13" i="11"/>
  <c r="M13" i="10"/>
  <c r="I13" i="11"/>
  <c r="F12" i="11"/>
  <c r="H11" i="11"/>
  <c r="K12" i="10"/>
  <c r="F11" i="11" l="1"/>
  <c r="H10" i="11"/>
  <c r="K11" i="10"/>
  <c r="L12" i="11"/>
  <c r="I12" i="11"/>
  <c r="K12" i="11"/>
  <c r="J12" i="11"/>
  <c r="M12" i="10"/>
  <c r="F10" i="11" l="1"/>
  <c r="H9" i="11"/>
  <c r="K10" i="10"/>
  <c r="J11" i="11"/>
  <c r="I11" i="11"/>
  <c r="L11" i="11"/>
  <c r="M11" i="10"/>
  <c r="K11" i="11"/>
  <c r="F9" i="11" l="1"/>
  <c r="H8" i="11"/>
  <c r="K9" i="10"/>
  <c r="K10" i="11"/>
  <c r="J10" i="11"/>
  <c r="I10" i="11"/>
  <c r="M10" i="10"/>
  <c r="L10" i="11"/>
  <c r="F8" i="11" l="1"/>
  <c r="H7" i="11"/>
  <c r="K8" i="10"/>
  <c r="I9" i="11"/>
  <c r="L9" i="11"/>
  <c r="K9" i="11"/>
  <c r="J9" i="11"/>
  <c r="M9" i="10"/>
  <c r="F7" i="11" l="1"/>
  <c r="K7" i="10"/>
  <c r="K8" i="11"/>
  <c r="J8" i="11"/>
  <c r="I8" i="11"/>
  <c r="L8" i="11"/>
  <c r="M8" i="10"/>
  <c r="I7" i="11" l="1"/>
  <c r="L7" i="11"/>
  <c r="K7" i="11"/>
  <c r="M7" i="10"/>
  <c r="J7" i="11"/>
</calcChain>
</file>

<file path=xl/sharedStrings.xml><?xml version="1.0" encoding="utf-8"?>
<sst xmlns="http://schemas.openxmlformats.org/spreadsheetml/2006/main" count="2436" uniqueCount="780">
  <si>
    <t>Table  1.1. U.S. Total Real National Health Expenditures Using Alternative Price Deflators: 1929 to 2021</t>
  </si>
  <si>
    <t>CAL-ENDAR YEAR</t>
  </si>
  <si>
    <t>NATIONAL HEALTH EXPEND-ITURES [NHE] (MILLIONS OF DOLLARS)</t>
  </si>
  <si>
    <t>RESIDENT POPULATION (MILLIONS)</t>
  </si>
  <si>
    <t>NHE PER CAPITA (DOLLARS)</t>
  </si>
  <si>
    <t>REAL GDP (CHAINED 2009 DOLLARS)</t>
  </si>
  <si>
    <t>REAL NHE (CHAINED 2009 DOLLARS) FROM BEA ESTIMATES</t>
  </si>
  <si>
    <t>REAL EXPENDITURE INDEX (1929=100) DERIVED USING:</t>
  </si>
  <si>
    <t>GDP deflator</t>
  </si>
  <si>
    <t>Health care PCE deflator</t>
  </si>
  <si>
    <t>Medical CPI</t>
  </si>
  <si>
    <t>CMS estimate</t>
  </si>
  <si>
    <t>BEA estimate</t>
  </si>
  <si>
    <t>From CMS estimate</t>
  </si>
  <si>
    <t>From BEA estimate</t>
  </si>
  <si>
    <t>GDP</t>
  </si>
  <si>
    <t>GDP per capita (dollars)</t>
  </si>
  <si>
    <t>NHE (billions)</t>
  </si>
  <si>
    <t>NHE per capita</t>
  </si>
  <si>
    <t>GDP per capita</t>
  </si>
  <si>
    <t>NHE</t>
  </si>
  <si>
    <t xml:space="preserve">NHE </t>
  </si>
  <si>
    <t>Year</t>
  </si>
  <si>
    <t>Notes</t>
  </si>
  <si>
    <t>[A]</t>
  </si>
  <si>
    <t>[B]</t>
  </si>
  <si>
    <t>[C]</t>
  </si>
  <si>
    <t>[D]</t>
  </si>
  <si>
    <t>[E]</t>
  </si>
  <si>
    <t>[F]</t>
  </si>
  <si>
    <t>[G]</t>
  </si>
  <si>
    <t>[H]</t>
  </si>
  <si>
    <t>[I]</t>
  </si>
  <si>
    <t>[J]</t>
  </si>
  <si>
    <t>[K]</t>
  </si>
  <si>
    <t>[L]</t>
  </si>
  <si>
    <t>Update:</t>
  </si>
  <si>
    <t>Note:</t>
  </si>
  <si>
    <t>Figures in bold italics estimated by author using sources and methods describes in Notes. All other figures are reported in sources shown.</t>
  </si>
  <si>
    <t>Notes:</t>
  </si>
  <si>
    <t xml:space="preserve">Except for 1939, figures prior to 1960 estimated by author in Parameters [P1]. Estimate for 1939 calculated using the compound annual growth rate (CAGR) from 1935-1940. Figures for 1960-2011 reported in [S10]. Figures for 1970-2021 reported in [S11]; however, since these estimates are from June 2012 and differ from the 1960-2011 figures released in December, the latter were assumed to be more accurate. Accordingly, figures for 2012-2021 are estimated by author in Parameters [P2].   </t>
  </si>
  <si>
    <t>All figures represent the resident population calculated by Bureau of the Census as of July 1 of each year shown since that is the figure CMS currently uses for calculating per capita NHE. The Census Bureau defines the resident population as "all persons who are "usually resident" in a specified geographic area. The U.S. resident population includes all persons who usually reside in the 50 states and the District of Columbia, but excludes residents of the Commonwealth of Puerto Rico and the Island areas under U.S. sovereignty or jurisdiction (principally American Samoa, Guam, United States Virgin Islands, and the Commonwealth of the Northern Mariana Islands). In addition, the U.S. resident population excludes U.S. Armed Forces overseas and civilian U.S. citizens whose usual place of residence is outside the United States" [S7]. Population figures before 1960 are not reported in the original source, so have been calculated from estimates of NHE and NHE per capita for selected calendar years shown in  Parameters [P1]: 1929, 1935, 1940, 1948-1959; all remaining pre-1960 figures are interpolated assuming uniform annual growth between years with reported data.  Note that prior to 1960, the Office of Research and Statistics used a broader population definition to calculate per capita NHE: "based on July 1 data from the Bureau of the Census for total U.S. population (including Armed Forces and Federal civilian employees overseas and the civilian population of outlying areas" (such as Puerto Rico) [S6: Table 4]. Figures for 1960-2005 are reported in [S10].  Figures for 2006-2021 are reported in [S13].</t>
  </si>
  <si>
    <t>Figures from 1929-2012 are reported in [S6]. BEA uses the Census Bureau's midyear population estimates, which are the figures used for calculating per capita GDP. Except for college students and other seasonal populations, which are measured on April 1, the population for all years is estimated on July 1 [S4]. Figures for 2013-2014 are Census Bureau estimates reported in [S8]; these projections are based on Census 2000 and were produced using a cohort-component method. The Bureau notes that "where both estimates and projections are available for a given time reference, we recommend that you use the population estimates as the measure of the current population." [S7]. Figures for 2015-2021 are Census Bureau estimates reported in [S9].</t>
  </si>
  <si>
    <t>All bold-faced figures calculated: NHE per Capita = NHE/(Resident Population). Figures for 1960, 1970, 1980, 1990 and 2000-2011 reported in [S12]. Figures for 2012-2021 reported in [S13].</t>
  </si>
  <si>
    <t xml:space="preserve">All figures calculated from the estimates of  total NHE expenditures  and BEA resident population shown in adjacent columns. </t>
  </si>
  <si>
    <t>Figures for 1929-2012 reported in [S5]. Figures for 2013-2021 derived in Parameters [P3].</t>
  </si>
  <si>
    <t>Figures for 1929-2012 reported in [S6]. Figures for 2013-2021 derived in Parameters [P2].</t>
  </si>
  <si>
    <t>Figures calculated from BEA estimates using GDP price deflator reported in [S2].</t>
  </si>
  <si>
    <t>All figures calculated from real GDP (chained 2005 dollars) estimates shown in adjacent columns.</t>
  </si>
  <si>
    <t xml:space="preserve">All figures calculated from the estimates of  total and per capita NHE expenditures  shown in adjacent columns. </t>
  </si>
  <si>
    <t xml:space="preserve">All figures calculated from the estimates of  total and per capita NHE expenditures  shown in adjacent columns using health care PCE deflator estimates reported in [S2]. </t>
  </si>
  <si>
    <t xml:space="preserve">All figures calculated from the estimates of  total and per capita NHE expenditures  shown in adjacent columns using medical care price index for all urban consumers reported in [S2]. </t>
  </si>
  <si>
    <t>Parameters:</t>
  </si>
  <si>
    <t>[P1]</t>
  </si>
  <si>
    <t>Adjustment for Historical Data, 1929-1959</t>
  </si>
  <si>
    <t xml:space="preserve">Calendar Year </t>
  </si>
  <si>
    <t>Total NHE</t>
  </si>
  <si>
    <t>Ratio: 2012/ 1975</t>
  </si>
  <si>
    <t>Adjusted NHE estimate</t>
  </si>
  <si>
    <t>Per capita NHE</t>
  </si>
  <si>
    <t>Ratio: 2008/ 1975</t>
  </si>
  <si>
    <t>Adjusted NHE/capita estimate</t>
  </si>
  <si>
    <t>1975 Est.</t>
  </si>
  <si>
    <t>2012 Est.</t>
  </si>
  <si>
    <t>Estimate</t>
  </si>
  <si>
    <t>NR</t>
  </si>
  <si>
    <t>NA</t>
  </si>
  <si>
    <t>[P1a]</t>
  </si>
  <si>
    <t>[P1b]</t>
  </si>
  <si>
    <t>[P1c]</t>
  </si>
  <si>
    <t>[P1d]</t>
  </si>
  <si>
    <t>[P1e]</t>
  </si>
  <si>
    <t>[P1f]</t>
  </si>
  <si>
    <t>All figures except 1935 reported in Table 4 of [S1]. Figure for 1935 is reported in Table 6 of [S14]. Note that all figures reported in [S14] and [S1] from 1929-1960 were identical, so these mid-year figures should not be biased even though they are from an earlier year source.</t>
  </si>
  <si>
    <t>Figures shown are reported in [S10].</t>
  </si>
  <si>
    <t>All figures calculated: 1975 Estimate x 2012/1975 Ratio. Ratio for 1929-1959 assumed to be identical to 1960.</t>
  </si>
  <si>
    <t xml:space="preserve">All figures except 1935 reported in Table 4 of [S1]. Figure for 1935 is reported in Table 6 of [S14]. The original per capita amounts for these years were calculated from calendar year NHE data using U.S. Bureau of the Census estimates of the total U.S. population on July 1, including Armed Forces and Federal civilian employees overseas and the civilian population of outlying areas.  </t>
  </si>
  <si>
    <t xml:space="preserve">Figures shown are calendar year estimates reported in [S10], based on U.S. Bureau of the Census estimates of resident based population less armed forces overseas and less the population of outlying areas. </t>
  </si>
  <si>
    <t xml:space="preserve">Figures for 1929-1959 calculated as the average of the estimated ratios for the years 1960-1964. </t>
  </si>
  <si>
    <t>[P2]</t>
  </si>
  <si>
    <t>Adjustment for Projected Data, 2012-2021</t>
  </si>
  <si>
    <t>Ratio: Dec./ June</t>
  </si>
  <si>
    <t>June 2012 Est.</t>
  </si>
  <si>
    <t>December 2012 Est.</t>
  </si>
  <si>
    <t>[P2a]</t>
  </si>
  <si>
    <t>[P2b]</t>
  </si>
  <si>
    <t>[P2c]</t>
  </si>
  <si>
    <t>[P2d]</t>
  </si>
  <si>
    <t>All figures reported in [S11].</t>
  </si>
  <si>
    <t>All figures reported in [S10].</t>
  </si>
  <si>
    <t>All figures calculated: December 2012 Estimate/June 2012 Estimate. Figures for 2012-2021 calculated using the average ratio for 2009-2011.</t>
  </si>
  <si>
    <t>All figures calculated: June 2012 Est. x Ratio: Dec./June.</t>
  </si>
  <si>
    <t>[P3]</t>
  </si>
  <si>
    <t>Adjustment for Projected Real GDP, 2013-2021</t>
  </si>
  <si>
    <t xml:space="preserve">Year </t>
  </si>
  <si>
    <t>Real GDP (2005 chained dollars)</t>
  </si>
  <si>
    <t>Annual in-crease</t>
  </si>
  <si>
    <t>Real GDP (2009 chained dollars)</t>
  </si>
  <si>
    <t>CBO (2/13)</t>
  </si>
  <si>
    <t>BEA (2/13)</t>
  </si>
  <si>
    <t>[P3a]</t>
  </si>
  <si>
    <t>[P3b]</t>
  </si>
  <si>
    <t>[P3c]</t>
  </si>
  <si>
    <t>[P3d]</t>
  </si>
  <si>
    <t>[P3e]</t>
  </si>
  <si>
    <t>Figures reported in [S3] using chained (2005) dollars. CBO has reported that it will not release its 2013 Long-Term Budget Outlook until September 2013.</t>
  </si>
  <si>
    <t>Figures reported in [S5] using chained (2005) dollars.</t>
  </si>
  <si>
    <t xml:space="preserve">Figures prior to 2012 calculated from BEA estimates; figures from 2013-2021 calculated from CMS estimates. </t>
  </si>
  <si>
    <t>2012 figure reported in [S5]. All other figures calculated using annual increase shown in adjacent column.</t>
  </si>
  <si>
    <t>Figures calculated using real GDP divided by BEA resident population estimates shown in main table.</t>
  </si>
  <si>
    <t xml:space="preserve">Sources: </t>
  </si>
  <si>
    <t>[S1]</t>
  </si>
  <si>
    <r>
      <rPr>
        <b/>
        <sz val="8"/>
        <rFont val="News Gothic Condensed"/>
      </rPr>
      <t>Cooper, Barbara S.</t>
    </r>
    <r>
      <rPr>
        <sz val="8"/>
        <rFont val="News Gothic Condensed"/>
      </rPr>
      <t xml:space="preserve">, Nancy L. </t>
    </r>
    <r>
      <rPr>
        <b/>
        <sz val="8"/>
        <rFont val="News Gothic Condensed"/>
      </rPr>
      <t xml:space="preserve">Worthington, </t>
    </r>
    <r>
      <rPr>
        <sz val="8"/>
        <rFont val="News Gothic Condensed"/>
      </rPr>
      <t xml:space="preserve">and </t>
    </r>
    <r>
      <rPr>
        <b/>
        <sz val="8"/>
        <rFont val="News Gothic Condensed"/>
      </rPr>
      <t>Mary F. McGee.</t>
    </r>
    <r>
      <rPr>
        <sz val="8"/>
        <rFont val="News Gothic Condensed"/>
      </rPr>
      <t xml:space="preserve"> Compendium of National Health Expenditures Data. DHEW Pub. No. (SSA)73-11903, Office of Research and Statistics, 1973.</t>
    </r>
  </si>
  <si>
    <t>[S2]</t>
  </si>
  <si>
    <r>
      <rPr>
        <b/>
        <sz val="8"/>
        <rFont val="News Gothic Condensed"/>
      </rPr>
      <t>Duke University,</t>
    </r>
    <r>
      <rPr>
        <sz val="8"/>
        <rFont val="News Gothic Condensed"/>
      </rPr>
      <t xml:space="preserve"> </t>
    </r>
    <r>
      <rPr>
        <b/>
        <sz val="8"/>
        <rFont val="News Gothic Condensed"/>
      </rPr>
      <t>Center for Health Policy and Inequalities Research</t>
    </r>
    <r>
      <rPr>
        <sz val="8"/>
        <rFont val="News Gothic Condensed"/>
      </rPr>
      <t xml:space="preserve">. </t>
    </r>
    <r>
      <rPr>
        <i/>
        <sz val="8"/>
        <rFont val="News Gothic Condensed"/>
      </rPr>
      <t>Table  1.1.1. Inflation in the U.S. Health Sector Using Alternative Price Indexes: 1929 to 2021 [Index numbers, 2005=100 unless otherwise shown]</t>
    </r>
    <r>
      <rPr>
        <sz val="8"/>
        <rFont val="News Gothic Condensed"/>
      </rPr>
      <t>. Durham: Duke University, August 10, 2013.</t>
    </r>
  </si>
  <si>
    <t>[S3]</t>
  </si>
  <si>
    <r>
      <rPr>
        <b/>
        <sz val="8"/>
        <rFont val="News Gothic Condensed"/>
      </rPr>
      <t>U.S. Congress, Congressional Budget Office</t>
    </r>
    <r>
      <rPr>
        <sz val="8"/>
        <rFont val="News Gothic Condensed"/>
      </rPr>
      <t xml:space="preserve">. </t>
    </r>
    <r>
      <rPr>
        <i/>
        <sz val="8"/>
        <rFont val="News Gothic Condensed"/>
      </rPr>
      <t>February 2013 Baseline Forecast—Data Release (Calendar Year) for The Budget and Economic Outlook: Fiscal Years 2013-2023</t>
    </r>
    <r>
      <rPr>
        <sz val="8"/>
        <rFont val="News Gothic Condensed"/>
      </rPr>
      <t xml:space="preserve"> (last modified February 2013).  Available at: http://www.cbo.gov/sites/default/files/cbofiles/attachments/43902_EconomicBaselineProjections.xls (accessed April 22, 2013).</t>
    </r>
  </si>
  <si>
    <t>[S4]</t>
  </si>
  <si>
    <r>
      <rPr>
        <b/>
        <sz val="8"/>
        <rFont val="News Gothic Condensed"/>
      </rPr>
      <t>U.S. Department of Commerce, Bureau of Economic Analysis</t>
    </r>
    <r>
      <rPr>
        <sz val="8"/>
        <rFont val="News Gothic Condensed"/>
      </rPr>
      <t xml:space="preserve">.  </t>
    </r>
    <r>
      <rPr>
        <i/>
        <sz val="8"/>
        <rFont val="News Gothic Condensed"/>
      </rPr>
      <t>Population</t>
    </r>
    <r>
      <rPr>
        <sz val="8"/>
        <rFont val="News Gothic Condensed"/>
      </rPr>
      <t>. Available at: http://www.bea.gov/regional/definitions/nextpage.cfm?key=Population (accessed March 23, 2013).</t>
    </r>
  </si>
  <si>
    <t>[S5]</t>
  </si>
  <si>
    <r>
      <rPr>
        <b/>
        <sz val="8"/>
        <rFont val="News Gothic Condensed"/>
      </rPr>
      <t>U.S. Department of Commerce, Bureau of Economic Analysis</t>
    </r>
    <r>
      <rPr>
        <sz val="8"/>
        <rFont val="News Gothic Condensed"/>
      </rPr>
      <t xml:space="preserve">.  </t>
    </r>
    <r>
      <rPr>
        <i/>
        <sz val="8"/>
        <rFont val="News Gothic Condensed"/>
      </rPr>
      <t>Table 1.1.6. Real Gross Domestic Product, Chained Dollars (billions of chained [2005] dollars)</t>
    </r>
    <r>
      <rPr>
        <sz val="8"/>
        <rFont val="News Gothic Condensed"/>
      </rPr>
      <t>. Last revised July 31, 2013.  Available at: http://www.bea.gov/iTable/iTable.cfm?ReqID=9&amp;step=1#reqid=9&amp;step=3&amp;isuri=1&amp;910=X&amp;911=1&amp;903=6&amp;904=2010&amp;905=2012&amp;906=A (accessed August 10, 2013).</t>
    </r>
  </si>
  <si>
    <t>[S6]</t>
  </si>
  <si>
    <r>
      <rPr>
        <b/>
        <sz val="8"/>
        <rFont val="News Gothic Condensed"/>
      </rPr>
      <t>U.S. Department of Commerce, Bureau of Economic Analysis</t>
    </r>
    <r>
      <rPr>
        <sz val="8"/>
        <rFont val="News Gothic Condensed"/>
      </rPr>
      <t xml:space="preserve">.  </t>
    </r>
    <r>
      <rPr>
        <i/>
        <sz val="8"/>
        <rFont val="News Gothic Condensed"/>
      </rPr>
      <t>Table 7.1. Selected Per Capita Product and Income Series in Current and Chained Dollars</t>
    </r>
    <r>
      <rPr>
        <sz val="8"/>
        <rFont val="News Gothic Condensed"/>
      </rPr>
      <t>. Last revised July 31, 2013.  Available at: http://www.bea.gov/iTable/iTable.cfm?ReqID=9&amp;step=1#reqid=9&amp;step=3&amp;isuri=1&amp;903=264 (accessed August 10, 2013).</t>
    </r>
  </si>
  <si>
    <t>[S7]</t>
  </si>
  <si>
    <r>
      <rPr>
        <b/>
        <sz val="8"/>
        <rFont val="News Gothic Condensed"/>
      </rPr>
      <t>U.S. Department of Commerce, Census Bureau, Population Division</t>
    </r>
    <r>
      <rPr>
        <sz val="8"/>
        <rFont val="News Gothic Condensed"/>
      </rPr>
      <t xml:space="preserve">.  </t>
    </r>
    <r>
      <rPr>
        <i/>
        <sz val="8"/>
        <rFont val="News Gothic Condensed"/>
      </rPr>
      <t>Population Estimates Terms and Definitions</t>
    </r>
    <r>
      <rPr>
        <sz val="8"/>
        <rFont val="News Gothic Condensed"/>
      </rPr>
      <t>. Available at: http://www.census.gov/popest/about/terms.html (accessed March 23, 2013).</t>
    </r>
  </si>
  <si>
    <t>[S8]</t>
  </si>
  <si>
    <r>
      <rPr>
        <b/>
        <sz val="8"/>
        <rFont val="News Gothic Condensed"/>
      </rPr>
      <t>U.S. Department of Commerce, Census Bureau, Population Division</t>
    </r>
    <r>
      <rPr>
        <sz val="8"/>
        <rFont val="News Gothic Condensed"/>
      </rPr>
      <t xml:space="preserve">.  </t>
    </r>
    <r>
      <rPr>
        <i/>
        <sz val="8"/>
        <rFont val="News Gothic Condensed"/>
      </rPr>
      <t>Table 1. Projected Population by Single Year of Age (0-99, 100+), Sex, Race, and Hispanic Origin for the United States: July 1, 2012 to July 1, 2060</t>
    </r>
    <r>
      <rPr>
        <sz val="8"/>
        <rFont val="News Gothic Condensed"/>
      </rPr>
      <t>. Release date: December 2012.  Available at: http://www.census.gov/population/projections/files/downloadables/NP2012_D1.csv (accessed March 23, 2013).</t>
    </r>
  </si>
  <si>
    <t>[S9]</t>
  </si>
  <si>
    <r>
      <rPr>
        <b/>
        <sz val="8"/>
        <rFont val="News Gothic Condensed"/>
      </rPr>
      <t>U.S. Department of Commerce, Census Bureau, Population Division</t>
    </r>
    <r>
      <rPr>
        <sz val="8"/>
        <rFont val="News Gothic Condensed"/>
      </rPr>
      <t xml:space="preserve">.  </t>
    </r>
    <r>
      <rPr>
        <i/>
        <sz val="8"/>
        <rFont val="News Gothic Condensed"/>
      </rPr>
      <t>Table 1. Projections of the Population and Components of Change for the United States: 2015 to 2060 (NP2012-T1)</t>
    </r>
    <r>
      <rPr>
        <sz val="8"/>
        <rFont val="News Gothic Condensed"/>
      </rPr>
      <t>. Release date: December 2012.  Available at: http://www.census.gov/population/projections/files/summary/NP2012-T1.xls (accessed August 10, 2013).</t>
    </r>
  </si>
  <si>
    <t>[S10]</t>
  </si>
  <si>
    <r>
      <rPr>
        <b/>
        <sz val="8"/>
        <rFont val="News Gothic Condensed"/>
      </rPr>
      <t>U.S. Department of Health and Human Services, Centers for Medicare and Medicaid Services, Office of the Actuary</t>
    </r>
    <r>
      <rPr>
        <sz val="8"/>
        <rFont val="News Gothic Condensed"/>
      </rPr>
      <t xml:space="preserve">. </t>
    </r>
    <r>
      <rPr>
        <i/>
        <sz val="8"/>
        <rFont val="News Gothic Condensed"/>
      </rPr>
      <t>National Health Expenditures by type of service and source of funds: CY 1960-2011</t>
    </r>
    <r>
      <rPr>
        <sz val="8"/>
        <rFont val="News Gothic Condensed"/>
      </rPr>
      <t>. Last updated December 27, 2012. Available at: https://www.cms.gov/Research-Statistics-Data-and-Systems/Statistics-Trends-and-Reports/NationalHealthExpendData/Downloads/NHE2011.zip (accessed January 10, 2013).</t>
    </r>
  </si>
  <si>
    <t>[S11]</t>
  </si>
  <si>
    <r>
      <rPr>
        <b/>
        <sz val="8"/>
        <rFont val="News Gothic Condensed"/>
      </rPr>
      <t>U.S. Department of Health and Human Services,</t>
    </r>
    <r>
      <rPr>
        <sz val="8"/>
        <rFont val="News Gothic Condensed"/>
      </rPr>
      <t xml:space="preserve"> </t>
    </r>
    <r>
      <rPr>
        <b/>
        <sz val="8"/>
        <rFont val="News Gothic Condensed"/>
      </rPr>
      <t>Centers for Medicare and Medicaid Services, Office of the Actuary</t>
    </r>
    <r>
      <rPr>
        <sz val="8"/>
        <rFont val="News Gothic Condensed"/>
      </rPr>
      <t xml:space="preserve">. </t>
    </r>
    <r>
      <rPr>
        <i/>
        <sz val="8"/>
        <rFont val="News Gothic Condensed"/>
      </rPr>
      <t>National Health Expenditure (NHE) Amounts by Type of Expenditure and Source of Funds: Calendar Years 1970-2021 in PROJECTIONS format</t>
    </r>
    <r>
      <rPr>
        <sz val="8"/>
        <rFont val="News Gothic Condensed"/>
      </rPr>
      <t>. Last updated June 6, 2012. Available at: http://www.cms.gov/Research-Statistics-Data-and-Systems/Statistics-Trends-and-Reports/NationalHealthExpendData/Downloads/nhe65-21.zip (accessed March 23, 2013).</t>
    </r>
  </si>
  <si>
    <t>[S12]</t>
  </si>
  <si>
    <r>
      <rPr>
        <b/>
        <sz val="8"/>
        <rFont val="News Gothic Condensed"/>
      </rPr>
      <t>U.S. Department of Health and Human Services, Centers for Medicare and Medicaid Services, Office of the Actuary</t>
    </r>
    <r>
      <rPr>
        <sz val="8"/>
        <rFont val="News Gothic Condensed"/>
      </rPr>
      <t xml:space="preserve">. </t>
    </r>
    <r>
      <rPr>
        <i/>
        <sz val="8"/>
        <rFont val="News Gothic Condensed"/>
      </rPr>
      <t>Table 1. National Health Expenditures; Aggregate and Per Capita Amounts, Annual Percent Change and Percent Distribution: Selected Calendar Years 1960-2011</t>
    </r>
    <r>
      <rPr>
        <sz val="8"/>
        <rFont val="News Gothic Condensed"/>
      </rPr>
      <t>. Last updated December 18, 2012. Available at: http://www.cms.gov/Research-Statistics-Data-and-Systems/Statistics-Trends-and-Reports/NationalHealthExpendData/Downloads/NHEGDP11.zip (accessed March 23, 2013).</t>
    </r>
  </si>
  <si>
    <t>[S13]</t>
  </si>
  <si>
    <r>
      <t xml:space="preserve">U.S. Department of Health and Human Services, Centers for Medicare and Medicaid Services, Office of the Actuary. </t>
    </r>
    <r>
      <rPr>
        <sz val="8"/>
        <rFont val="News Gothic Condensed"/>
      </rPr>
      <t xml:space="preserve">Table 1. National Health Expenditures and Selected Economic Indicators, Levels and Annual Percent Change: Calendar Years 2006-2021, in </t>
    </r>
    <r>
      <rPr>
        <i/>
        <sz val="8"/>
        <rFont val="News Gothic Condensed"/>
      </rPr>
      <t xml:space="preserve">National Health Expenditure Projections 2011-2021. </t>
    </r>
    <r>
      <rPr>
        <sz val="8"/>
        <rFont val="News Gothic Condensed"/>
      </rPr>
      <t>Last updated June 6, 2012. Available at: http://www.cms.gov/Research-Statistics-Data-and-Systems/Statistics-Trends-and-Reports/NationalHealthExpendData/Downloads/Proj2011PDF.pdf (accessed March 23, 2013).</t>
    </r>
  </si>
  <si>
    <t>[S14]</t>
  </si>
  <si>
    <r>
      <rPr>
        <b/>
        <sz val="8"/>
        <rFont val="News Gothic Condensed"/>
      </rPr>
      <t>Worthington, Nancy L.</t>
    </r>
    <r>
      <rPr>
        <sz val="8"/>
        <rFont val="News Gothic Condensed"/>
      </rPr>
      <t xml:space="preserve">  </t>
    </r>
    <r>
      <rPr>
        <i/>
        <sz val="8"/>
        <rFont val="News Gothic Condensed"/>
      </rPr>
      <t>National Health Expenditures, Calendar Years 1929-73</t>
    </r>
    <r>
      <rPr>
        <sz val="8"/>
        <rFont val="News Gothic Condensed"/>
      </rPr>
      <t>. Research and Statistics Note No. 1, Office of Research and Statistics, 1975.</t>
    </r>
  </si>
  <si>
    <t>Linked Table: Table 1.1.1, Table 1.3, Table 1.3.1</t>
  </si>
  <si>
    <t>Table  1.1.1. Inflation in the U.S. Health Sector Using Alternative Price Indexes: 1929 to 2021</t>
  </si>
  <si>
    <t>[Index numbers, 2005=100 unless otherwise shown]</t>
  </si>
  <si>
    <t>GDP IMPLICIT PRICE DE-FLATOR (2009= 100)</t>
  </si>
  <si>
    <t>PERSONAL CONSUMPTION EXPENDITURES (PCE) IMPLICIT PRICE DEFLATORS (2009=100)</t>
  </si>
  <si>
    <t>CONSUMER PRICE INDEX, ALL URBAN CONSUMERS [CPI-U] (1982-84=100)</t>
  </si>
  <si>
    <t>PERSONAL HEALTH CARE EXPENDITURES [PHCE] (2005=100)</t>
  </si>
  <si>
    <t>ANNUAL INFLATION RATE</t>
  </si>
  <si>
    <t>INFLATION RATE RATIO = ANNUAL INFLATION CALCULATED FROM PHCE PRICE DEFLATOR DIVIDED BY:</t>
  </si>
  <si>
    <t>Total</t>
  </si>
  <si>
    <t>All serv-ices</t>
  </si>
  <si>
    <t xml:space="preserve">Health care </t>
  </si>
  <si>
    <t>All items</t>
  </si>
  <si>
    <t>Medical care</t>
  </si>
  <si>
    <t>PHCE FWPI</t>
  </si>
  <si>
    <t>PHCE price deflator</t>
  </si>
  <si>
    <t>GDP price deflator</t>
  </si>
  <si>
    <t>CPI-All items</t>
  </si>
  <si>
    <t>PCE health care</t>
  </si>
  <si>
    <t>CPI-U med-ical</t>
  </si>
  <si>
    <t>CPI-U medical care</t>
  </si>
  <si>
    <t xml:space="preserve">Figures for 1929-2012 reported in [S4]. Figures for 2013-2021 estimated in [P4] by averaging projected growth rates reported by CMS and CBO for each year shown. </t>
  </si>
  <si>
    <t xml:space="preserve">Figures for 1929-2012 reported in [S4]. Figures for 2013-2021 calculated using CBO projections of PCE price index reported in [P1]: Total PCEYear X = (Total PCEYear X-1) x (CBO-Projected PCE Price IndexYear X/CBO-Projected PCE Price IndexYear X-1).  </t>
  </si>
  <si>
    <t xml:space="preserve">Figures for 1929-2012 reported in [S4]. Figures for 2013-2021 calculated using the average ratio of growth rates for  all services PCE compared to total PCE for the years 2001-2009 reported in [P2]: All Services PCE Year X =  (Total PCEYear X/PCE Price IndexYear X-1) x (Average Growth Rate Ratio for Services/Total2001-2008).  </t>
  </si>
  <si>
    <t>The PCE for health care includes household purchases of hospital and nursing home care, outpatient care provided by health professionals (encompassing services of physicians, dentists, other health professionals, home health, and medical laboratories), pharmaceuticals and other medical products, therapeutic appliances and equipment.  The category excludes the net cost of private health insurance and all government consumption expenditures related to health [S5].  BEA also reports an index for health care services, but this only includes hospital/nursing home care and outpatient care provided by health professionals. BEA does not report an implicit price deflator (IPD) for health care PCE, so the BEA price index for health care PCE was used instead. Note that the price indexes for total PCE and services PCE were nearly identical to their respective price deflator values shown, so use of the health care PCE price index is virtually equivalent to using the corresponding IPD. Figures for 1929-2012 reported in [S5]. Figures for 2013-2021 calculated using the same method described in note [C] but using the growth rate ratio for health care PCE/total PCE derived in [P2].</t>
  </si>
  <si>
    <t xml:space="preserve">Figures shown represent the U.S. city average annual consumer price index for all urban consumers, all items, not seasonally adjusted  (Series ID=CUUR0000SA0). All figures for 1929-2012 reported in [S12]. Figures for 2013-2021 estimated in [P1] by averaging projected growth rates reported by CMS and CBO for each year shown. </t>
  </si>
  <si>
    <t>Figures shown represent the U.S. city average annual consumer price index for all urban consumers, all services, not seasonally adjusted  (Series ID=CUUS0000SAS). Figures for 1935-2012 reported in [S7]. Figures from 1929-1935 calculated assuming the annual rate of increase for all services matched that for all items. Figures for 2013-2021 calculated using the same method described in note [C] but using the growth rate ratio for all services/all items derived in [P3].</t>
  </si>
  <si>
    <t>Figures shown represent the U.S. city average annual consumer price index for all urban consumers, all services, not seasonally adjusted  (Series ID=CUUR0000SAM). Figures for 1935-2012 reported in [S12]. Figures from 1929-1935 calculated assuming the annual rate of increase for all services matched that for all items. Figures for 2009-2019 calculated using the same method described in note [C] but using the growth rate ratio for medical care/all items derived in [P3].</t>
  </si>
  <si>
    <t>Figures shown are for the PHCE fixed-weight price index (FWPI) developed for the National Health Expenditure Accounts by the Centers for Medicare and Medicaid Services, Office of the Actuary. Index figures for 1960, 1965, 1970 and 1975 have been re-calculated from index figures originally reported using a different base year (see Parameters [P6]); figures for intermediate years are interpolated using the geometric mean growth rate. Figures for 1977-2007 are based on base year 2000 index figures reported in [S6]. CMS now relies on the chain-weighted PHCE figures used to derive the implicit price deflator. Thus, the FWPI estimates are shown only for historical interest.</t>
  </si>
  <si>
    <t>The implicit price deflator is calculated as the difference between nominal personal health care spending and real personal health care spending. Real personal health care spending is produced by deflating spending on each service type by the appropriate deflator (PPI, CPI, etc.) and adding real spending by service type. Figures for 1960-1995 are estimated in Parameters [P6]. Figures for 1996-2011 are reported in Table 3 of [S7]. Figures for 2012-2019 are calculated in Parameters [P7] from 2010 CMS estimates of PHCE  implicit price deflator. Figures for 2020 and 2021 are calculated from 2012-2019 using a least squares projection.</t>
  </si>
  <si>
    <t>All figures calculated as the percentage increase in index value from the preceding year using figures shown in adjacent columns.</t>
  </si>
  <si>
    <t>All figures calculated using annual inflation rate figures shown in adjacent columns.</t>
  </si>
  <si>
    <t>Projected All Items CPI, 2013-2023</t>
  </si>
  <si>
    <t>PCE price index (2005 =100)</t>
  </si>
  <si>
    <t>All Items CPI</t>
  </si>
  <si>
    <t>Infl. rate ratio: CBO/ CMS</t>
  </si>
  <si>
    <t>Est. all items index</t>
  </si>
  <si>
    <t>CMS (6/2012)</t>
  </si>
  <si>
    <t>CBO  (2/2013)</t>
  </si>
  <si>
    <t>BLS  (4/2013)</t>
  </si>
  <si>
    <t>All figures are personal consumption expenditure chain price index estimates (2005=100) reported in [S3]; figure for 2011 is actual, remaining figures are projections.</t>
  </si>
  <si>
    <t>Figures are calendar year annual averages reported in [S9]; figures for 2011-2021 are projections.</t>
  </si>
  <si>
    <t>Figures are calendar year annual averages reported in [S3]; figure for 2011 is actual, remaining figures are projections.</t>
  </si>
  <si>
    <t>Figures are actual calendar year annual average index values reported in [S12].</t>
  </si>
  <si>
    <t>For CMS and CBO, an annual inflation rate was calculated by dividing the current year index value by the value shown for the preceding year. The figures shown represent the ratios of these two estimates.</t>
  </si>
  <si>
    <t>Figures for 2011 and 2012 are actual figures as shown in BLS column. All other figures calculated using the average of annual growth rates calculated from index values projected by CMS and BLS. For 2013, this average growth rate is applied to the BLS index value for 2012. For all other years, the calculated average growth rate is applied to the estimated index value for the preceding year.</t>
  </si>
  <si>
    <t>Projection Parameters for All Services and Health Care PCE Price Index</t>
  </si>
  <si>
    <t>PCE</t>
  </si>
  <si>
    <t xml:space="preserve">Growth rate ratio: </t>
  </si>
  <si>
    <t>All services</t>
  </si>
  <si>
    <t>Health care</t>
  </si>
  <si>
    <t>All serv-ices/ total</t>
  </si>
  <si>
    <t>Health care/ total</t>
  </si>
  <si>
    <t>Average:</t>
  </si>
  <si>
    <t>Figures are calendar year annual average index values for selected components of personal consumption expenditures, as shown in main table.</t>
  </si>
  <si>
    <t>Annual growth rate calculated as year-over-year growth from index value reported in preceding year.</t>
  </si>
  <si>
    <t>Projection Parameters for All Services and Health Care CPI Price Index</t>
  </si>
  <si>
    <t>CPI-U</t>
  </si>
  <si>
    <t xml:space="preserve">Inflation ratio: </t>
  </si>
  <si>
    <t>All serv-ices/ all items</t>
  </si>
  <si>
    <t>Medical care/all items</t>
  </si>
  <si>
    <t>Figures are calendar year annual average index values for selected components of CPI-U, as shown in main table.</t>
  </si>
  <si>
    <t>Annual inflation rate calculated as year-over-year growth from index value reported in preceding year.</t>
  </si>
  <si>
    <t>[P4]</t>
  </si>
  <si>
    <t>Projection Parameters for GDP Implicit Price Deflator</t>
  </si>
  <si>
    <t>GDP Implicit Price Deflator</t>
  </si>
  <si>
    <t>Inflation ratio: CBO/ CMS</t>
  </si>
  <si>
    <t>Estimated GDP price deflator (2009= 100)</t>
  </si>
  <si>
    <t>CMS  (6/2012) (2005= 100)</t>
  </si>
  <si>
    <t>CBO    (2/2013) (2005= 100)</t>
  </si>
  <si>
    <t>BEA   (2/2013) (2009= 100)</t>
  </si>
  <si>
    <t>---</t>
  </si>
  <si>
    <t>[P4a]</t>
  </si>
  <si>
    <t>[P4b]</t>
  </si>
  <si>
    <t>[P4c]</t>
  </si>
  <si>
    <t>[P4d]</t>
  </si>
  <si>
    <t>[P4e]</t>
  </si>
  <si>
    <t>Figures are calendar year chain-weighted index estimates (2005=1.00) reported in [S9]; figures for 2011-2021 are projections.</t>
  </si>
  <si>
    <t>Figures are GDP chain-weighted price index annual averages (2005=1.00) reported in [S3]; figure for 2011 is actual, figures for 2012-2020 are projections.</t>
  </si>
  <si>
    <t>Figures are actual calendar year annual average deflator values reported in [S4].</t>
  </si>
  <si>
    <t>For CMS and CBO, annual growth inflation rate was calculated dividing the current year index value by the value shown for the preceding year. The figures shown represent the ratios of these two estimates.</t>
  </si>
  <si>
    <r>
      <t>All figures calculated using the average of annual growth rates calculated from index values projected by CMS and CBO: Average Growth Rate</t>
    </r>
    <r>
      <rPr>
        <vertAlign val="subscript"/>
        <sz val="8"/>
        <rFont val="News Gothic Condensed"/>
      </rPr>
      <t>Year X</t>
    </r>
    <r>
      <rPr>
        <sz val="8"/>
        <rFont val="News Gothic Condensed"/>
      </rPr>
      <t xml:space="preserve"> = [(CMS Index</t>
    </r>
    <r>
      <rPr>
        <vertAlign val="subscript"/>
        <sz val="8"/>
        <rFont val="News Gothic Condensed"/>
      </rPr>
      <t>Year X</t>
    </r>
    <r>
      <rPr>
        <sz val="8"/>
        <rFont val="News Gothic Condensed"/>
      </rPr>
      <t>/CMS Index</t>
    </r>
    <r>
      <rPr>
        <vertAlign val="subscript"/>
        <sz val="8"/>
        <rFont val="News Gothic Condensed"/>
      </rPr>
      <t>Year X-1</t>
    </r>
    <r>
      <rPr>
        <sz val="8"/>
        <rFont val="News Gothic Condensed"/>
      </rPr>
      <t>) + (CBO Index</t>
    </r>
    <r>
      <rPr>
        <vertAlign val="subscript"/>
        <sz val="8"/>
        <rFont val="News Gothic Condensed"/>
      </rPr>
      <t>Year X</t>
    </r>
    <r>
      <rPr>
        <sz val="8"/>
        <rFont val="News Gothic Condensed"/>
      </rPr>
      <t>/CBO Index</t>
    </r>
    <r>
      <rPr>
        <vertAlign val="subscript"/>
        <sz val="8"/>
        <rFont val="News Gothic Condensed"/>
      </rPr>
      <t>Year X-1</t>
    </r>
    <r>
      <rPr>
        <sz val="8"/>
        <rFont val="News Gothic Condensed"/>
      </rPr>
      <t>)]/2.  This calculated average growth rate is applied to the estimated index value for the preceding year: Estimated GDP Price Deflator</t>
    </r>
    <r>
      <rPr>
        <vertAlign val="subscript"/>
        <sz val="8"/>
        <rFont val="News Gothic Condensed"/>
      </rPr>
      <t>Year X</t>
    </r>
    <r>
      <rPr>
        <sz val="8"/>
        <rFont val="News Gothic Condensed"/>
      </rPr>
      <t xml:space="preserve"> = (GDP Price Deflator</t>
    </r>
    <r>
      <rPr>
        <vertAlign val="subscript"/>
        <sz val="8"/>
        <rFont val="News Gothic Condensed"/>
      </rPr>
      <t>Year X-1</t>
    </r>
    <r>
      <rPr>
        <sz val="8"/>
        <rFont val="News Gothic Condensed"/>
      </rPr>
      <t>) x (Average Growth Rate</t>
    </r>
    <r>
      <rPr>
        <vertAlign val="subscript"/>
        <sz val="8"/>
        <rFont val="News Gothic Condensed"/>
      </rPr>
      <t>Year X</t>
    </r>
    <r>
      <rPr>
        <sz val="8"/>
        <rFont val="News Gothic Condensed"/>
      </rPr>
      <t>). Projected figure for 2020 is based on CBO-estimated growth rate only.</t>
    </r>
  </si>
  <si>
    <t>[P5]</t>
  </si>
  <si>
    <t>Interpolation Parameters for PHCE Fixed-Weight Price Index (FWPI) and Implicit Price Deflators</t>
  </si>
  <si>
    <t>PHCE (1977=100)</t>
  </si>
  <si>
    <t>PHCE (1982=100)</t>
  </si>
  <si>
    <t>FWPI</t>
  </si>
  <si>
    <t>Price deflator</t>
  </si>
  <si>
    <t>[P5a]</t>
  </si>
  <si>
    <t>[P5b]</t>
  </si>
  <si>
    <t xml:space="preserve">Figures for fixed-weight price index are reported in Table 4 of [S2]. Implicit price deflator calculated by dividing the reported figure for current (nominal) PHCE per capita (in dollars) by the reported estimate of PHCE per capita deflated by PHCE-FWPI from the identical source. </t>
  </si>
  <si>
    <t xml:space="preserve">Figures for PHCE-FWPI and PHCE-IPD are reported in Table 11 of [S1]. </t>
  </si>
  <si>
    <t>[P6]</t>
  </si>
  <si>
    <t>PHCE deflator (2005= 100)</t>
  </si>
  <si>
    <t>2000= 100</t>
  </si>
  <si>
    <t>2005= 100</t>
  </si>
  <si>
    <t>[P6a]</t>
  </si>
  <si>
    <t>[P6b]</t>
  </si>
  <si>
    <t>[P6c]</t>
  </si>
  <si>
    <t xml:space="preserve">Figures for fixed-weight price index are reported in [S6]. Figures for implicit price deflator reported in [S10]. </t>
  </si>
  <si>
    <t>Unbolded figures for FWPI reported in Table 2 of [S8]. All bold-faced figures from 1977-2004 derived from 2000 base year figures shown in adjacent column by dividing by the 2000 base year index value for the year 2005. Figures for 1975 and earlier derived from year 1977 FWPI index figures shown in [P5]. Figure for 1960 calculated from year 1982 index figures shown in [P5].</t>
  </si>
  <si>
    <t>Figures for 1980 and 1990 reported in [S11]. All other non-bolded figures reported in Table 3 of [S7]. All bold-faced figures for 1978, 1979 and from 1983 forward are interpolated backwards assuming the same annual rate of change as calculated from the FWPI: PHCE Price DeflatorYear X-1 =  PHCE Price DeflatorYear X x (PHCE FWPIYear X-1)/(PHCE FWPIYear X. The same approach was used for all remaining years 1960-1977 and 1981-1982 using the annual rate of change in the PHCE Price Deflator using figures reported in [P5].</t>
  </si>
  <si>
    <t>[P7]</t>
  </si>
  <si>
    <t>Projection Parameters for PHCE Implicit Price Deflator</t>
  </si>
  <si>
    <t>PHCE Price Deflator (2005=100)</t>
  </si>
  <si>
    <t>Ratio: 2013 Estimate/2010 Estimate</t>
  </si>
  <si>
    <t>Estimated PHCE price deflator</t>
  </si>
  <si>
    <t>CMS  (9/2010)</t>
  </si>
  <si>
    <t>[P7a]</t>
  </si>
  <si>
    <t>[P7b]</t>
  </si>
  <si>
    <t>[P7c]</t>
  </si>
  <si>
    <t>[P7d]</t>
  </si>
  <si>
    <t xml:space="preserve">All figures are reported in [S10]; figures for 2004-2008 are actual and for 2009-2019 are projected. </t>
  </si>
  <si>
    <t>All figures reported in Table 3 of [S7].</t>
  </si>
  <si>
    <t>All non-boldface figures calculated as ratios from figures in adjacent columns. All boldface figures are calculated using a least squares projection line from the ratios for 2004-2011.</t>
  </si>
  <si>
    <t>All figures estimated by applying extrapolated ratio to 2010 projections of PHCE price deflator.</t>
  </si>
  <si>
    <r>
      <rPr>
        <b/>
        <sz val="8"/>
        <rFont val="News Gothic Condensed"/>
      </rPr>
      <t>Levit, Katharine R., Helen Lazenby, Daniel R. Waldo, and Lawrence M. Davidoff</t>
    </r>
    <r>
      <rPr>
        <sz val="8"/>
        <rFont val="News Gothic Condensed"/>
      </rPr>
      <t xml:space="preserve">.  National Health Expenditures, 1984. </t>
    </r>
    <r>
      <rPr>
        <i/>
        <sz val="8"/>
        <rFont val="News Gothic Condensed"/>
      </rPr>
      <t>Health Care Financing Review</t>
    </r>
    <r>
      <rPr>
        <sz val="8"/>
        <rFont val="News Gothic Condensed"/>
      </rPr>
      <t xml:space="preserve"> Fall 1985; 7(1): 1-33. </t>
    </r>
  </si>
  <si>
    <r>
      <rPr>
        <b/>
        <sz val="8"/>
        <rFont val="News Gothic Condensed"/>
      </rPr>
      <t>Levit, Katharine R., Helen C. Lazenby, Cathy A. Cowan, and Suzanne W. Letsch</t>
    </r>
    <r>
      <rPr>
        <sz val="8"/>
        <rFont val="News Gothic Condensed"/>
      </rPr>
      <t xml:space="preserve">.  National Health Expenditures, 1990. </t>
    </r>
    <r>
      <rPr>
        <i/>
        <sz val="8"/>
        <rFont val="News Gothic Condensed"/>
      </rPr>
      <t>Health Care Financing Review</t>
    </r>
    <r>
      <rPr>
        <sz val="8"/>
        <rFont val="News Gothic Condensed"/>
      </rPr>
      <t xml:space="preserve"> Fall 1991; 13(1): 29-54. </t>
    </r>
  </si>
  <si>
    <r>
      <t>U.S. Department of Commerce, Bureau of Economic Analysis</t>
    </r>
    <r>
      <rPr>
        <sz val="8"/>
        <rFont val="News Gothic Condensed"/>
      </rPr>
      <t xml:space="preserve">.  </t>
    </r>
    <r>
      <rPr>
        <i/>
        <sz val="8"/>
        <rFont val="News Gothic Condensed"/>
      </rPr>
      <t>Table 1.1.9. Implicit Price Deflators for Gross Domestic Product</t>
    </r>
    <r>
      <rPr>
        <sz val="8"/>
        <rFont val="News Gothic Condensed"/>
      </rPr>
      <t>. Last revised July 31, 2013.  Available at: http://www.bea.gov/iTable/iTable.cfm?ReqID=9&amp;step=1#reqid=9&amp;step=3&amp;isuri=1&amp;903=13 (accessed August 10, 2013).</t>
    </r>
  </si>
  <si>
    <r>
      <rPr>
        <b/>
        <sz val="8"/>
        <rFont val="News Gothic Condensed"/>
      </rPr>
      <t>U.S. Department of Commerce, Bureau of Economic Analysis</t>
    </r>
    <r>
      <rPr>
        <sz val="8"/>
        <rFont val="News Gothic Condensed"/>
      </rPr>
      <t xml:space="preserve">.  </t>
    </r>
    <r>
      <rPr>
        <i/>
        <sz val="8"/>
        <rFont val="News Gothic Condensed"/>
      </rPr>
      <t>Table 2.5.4 Price Indexes for Personal Consumption Expenditures by Function</t>
    </r>
    <r>
      <rPr>
        <sz val="8"/>
        <rFont val="News Gothic Condensed"/>
      </rPr>
      <t>. Last revised August 7, 2013.  Available at: http://www.bea.gov/iTable/iTable.cfm?ReqID=9&amp;step=1#reqid=9&amp;step=3&amp;isuri=1&amp;903=73 (accessed August 10, 2013).</t>
    </r>
  </si>
  <si>
    <r>
      <rPr>
        <b/>
        <sz val="8"/>
        <rFont val="News Gothic Condensed"/>
      </rPr>
      <t>U.S. Department of Health and Human Services, Agency for Healthcare Research and Quality</t>
    </r>
    <r>
      <rPr>
        <sz val="8"/>
        <rFont val="News Gothic Condensed"/>
      </rPr>
      <t xml:space="preserve">. </t>
    </r>
    <r>
      <rPr>
        <i/>
        <sz val="8"/>
        <rFont val="News Gothic Condensed"/>
      </rPr>
      <t>Table 1.1.2 Price Index Series</t>
    </r>
    <r>
      <rPr>
        <sz val="8"/>
        <rFont val="News Gothic Condensed"/>
      </rPr>
      <t xml:space="preserve"> (last updated March 2009). Available at: http://www.meps.ahrq.gov/mepsweb/about_meps/Price_Index.shtml (accessed December 2, 2009).</t>
    </r>
  </si>
  <si>
    <r>
      <t xml:space="preserve">U.S. Department of Health and Human Services, Agency for Healthcare Research and Quality. </t>
    </r>
    <r>
      <rPr>
        <i/>
        <sz val="8"/>
        <rFont val="News Gothic Condensed"/>
      </rPr>
      <t xml:space="preserve">Using Appropriate Price Indices for Analyses of Health Care Expenditures or Income Across Multiple Years. </t>
    </r>
    <r>
      <rPr>
        <sz val="8"/>
        <rFont val="News Gothic Condensed"/>
      </rPr>
      <t>Available at: http://meps.ahrq.gov/about_meps/Price_Index.shtml (accessed April 23, 2013).</t>
    </r>
  </si>
  <si>
    <r>
      <rPr>
        <b/>
        <sz val="8"/>
        <rFont val="News Gothic Condensed"/>
      </rPr>
      <t>U.S. Department of Health and Human Services, Centers for Medicare and Medicaid Services, Office of the Actuary</t>
    </r>
    <r>
      <rPr>
        <sz val="8"/>
        <rFont val="News Gothic Condensed"/>
      </rPr>
      <t xml:space="preserve">. </t>
    </r>
    <r>
      <rPr>
        <i/>
        <sz val="8"/>
        <rFont val="News Gothic Condensed"/>
      </rPr>
      <t>National Health Expenditures Accounts: Definitions, Sources, and Methods, 2008</t>
    </r>
    <r>
      <rPr>
        <sz val="8"/>
        <rFont val="News Gothic Condensed"/>
      </rPr>
      <t>. Available at: http://www.cms.gov/NationalHealthExpendData/downloads/dsm-08.pdf (accessed September 10, 2010).</t>
    </r>
  </si>
  <si>
    <r>
      <t xml:space="preserve">U.S. Department of Health and Human Services, Centers for Medicare and Medicaid Services, Office of the Actuary. </t>
    </r>
    <r>
      <rPr>
        <i/>
        <sz val="8"/>
        <rFont val="News Gothic Condensed"/>
      </rPr>
      <t>Table 1 National Health Expenditures and Selected Economic Indicators, Levels and Annual Percent Change: Calendar Years 2004-2019 (Sept. '10 Projections)</t>
    </r>
    <r>
      <rPr>
        <sz val="8"/>
        <rFont val="News Gothic Condensed"/>
      </rPr>
      <t>. Last updated September 15, 2010. Available at: http://www.cms.gov/NationalHealthExpendData/Downloads/NHEProjections2009to2019.pdf (accessed September 28, 2010).</t>
    </r>
  </si>
  <si>
    <r>
      <t xml:space="preserve">U.S. Department of Health and Human Services, Centers for Medicare and Medicaid Services, Office of the Actuary. </t>
    </r>
    <r>
      <rPr>
        <i/>
        <sz val="8"/>
        <rFont val="News Gothic Condensed"/>
      </rPr>
      <t>Table 23 National Health Expenditures; Nominal Dollars, Real Dollars, Price Indexes, and Annual Percent Change: Selected Calendar Years 1980-2011</t>
    </r>
    <r>
      <rPr>
        <sz val="8"/>
        <rFont val="News Gothic Condensed"/>
      </rPr>
      <t>. Available at: http://www.cms.gov/Research-Statistics-Data-and-Systems/Statistics-Trends-and-Reports/NationalHealthExpendData/Downloads/tables.pdf (accessed April 22, 2013).</t>
    </r>
  </si>
  <si>
    <r>
      <rPr>
        <b/>
        <sz val="8"/>
        <rFont val="News Gothic Condensed"/>
      </rPr>
      <t>U.S. Department of Labor, Bureau of Labor Statistics</t>
    </r>
    <r>
      <rPr>
        <sz val="8"/>
        <rFont val="News Gothic Condensed"/>
      </rPr>
      <t xml:space="preserve">. </t>
    </r>
    <r>
      <rPr>
        <i/>
        <sz val="8"/>
        <rFont val="News Gothic Condensed"/>
      </rPr>
      <t>Consumer Price Index - All Urban Consumers (base period 1982-1984=100; not seasonally adjusted)</t>
    </r>
    <r>
      <rPr>
        <sz val="8"/>
        <rFont val="News Gothic Condensed"/>
      </rPr>
      <t>.  Available at: http://www.bls.gov/data/#prices  (accessed April 23, 2013).</t>
    </r>
  </si>
  <si>
    <t>Linked Tables: None</t>
  </si>
  <si>
    <t>Table  1.1.3. National Health Expenditures by Source of Funds: Calendar Years 1960 to 2011</t>
  </si>
  <si>
    <t>[Levels in millions of dollars]</t>
  </si>
  <si>
    <t>CAL- ENDAR YEAR</t>
  </si>
  <si>
    <t>TOTAL NATIONAL HEALTH EXPEND-ITURES</t>
  </si>
  <si>
    <t>OUT OF POCKET</t>
  </si>
  <si>
    <t>HEALTH INSURANCE</t>
  </si>
  <si>
    <t xml:space="preserve">     OTHER THIRD PARTY PAYERS AND PROGRAMS</t>
  </si>
  <si>
    <t xml:space="preserve">     PUBLIC HEALTH ACTIVITY</t>
  </si>
  <si>
    <t xml:space="preserve">     INVESTMENT</t>
  </si>
  <si>
    <t xml:space="preserve">         Research</t>
  </si>
  <si>
    <t>Structures and Equipment</t>
  </si>
  <si>
    <t>Private health insurance</t>
  </si>
  <si>
    <t>Medicare</t>
  </si>
  <si>
    <t>Medicaid</t>
  </si>
  <si>
    <t>CHIP (Title XIX and Title XXI)</t>
  </si>
  <si>
    <t>Depart-ment of Defense</t>
  </si>
  <si>
    <t>Depart-ment of Veterans Affairs</t>
  </si>
  <si>
    <t xml:space="preserve">         Worksite health care</t>
  </si>
  <si>
    <t>Other private revenues</t>
  </si>
  <si>
    <t xml:space="preserve">Indian Health Services </t>
  </si>
  <si>
    <t>Workers' comp-ensation</t>
  </si>
  <si>
    <t>General Assistance</t>
  </si>
  <si>
    <t xml:space="preserve">         Maternal/ Child Health</t>
  </si>
  <si>
    <t xml:space="preserve">         Vocational Rehabilitation</t>
  </si>
  <si>
    <t xml:space="preserve">Federal  </t>
  </si>
  <si>
    <t xml:space="preserve">                          State and Local</t>
  </si>
  <si>
    <t>Other federal programs</t>
  </si>
  <si>
    <t>SAMHSA</t>
  </si>
  <si>
    <t>Other state and local programs</t>
  </si>
  <si>
    <t>School Health</t>
  </si>
  <si>
    <t xml:space="preserve">                          Federal  </t>
  </si>
  <si>
    <t xml:space="preserve">                          State and local</t>
  </si>
  <si>
    <t>Structures</t>
  </si>
  <si>
    <t>Equipment</t>
  </si>
  <si>
    <t>Federal</t>
  </si>
  <si>
    <t>State &amp; local</t>
  </si>
  <si>
    <t>State and Local</t>
  </si>
  <si>
    <t xml:space="preserve">     Private </t>
  </si>
  <si>
    <t xml:space="preserve">     Federal</t>
  </si>
  <si>
    <t xml:space="preserve">     State and local</t>
  </si>
  <si>
    <t>All figures reported in [S2] and include administrative costs associated with public programs and administration of private health insurance.</t>
  </si>
  <si>
    <t xml:space="preserve">Notes: </t>
  </si>
  <si>
    <t>Workers compensation includes expenditures for medical benefits from all sources, including federal, state and local government and private [S1]; no break-down by source is provided.</t>
  </si>
  <si>
    <t>Other Federal Programs include Office of Economic Opportunity, Federal General and Medical, Federal General and Medical Not elsewhere classified, and High Risk Pools under ACA.</t>
  </si>
  <si>
    <t>Other State and Local Programs include State and Local Subsidies and Temporary Disability Insurance.</t>
  </si>
  <si>
    <t xml:space="preserve">Source: </t>
  </si>
  <si>
    <r>
      <rPr>
        <b/>
        <sz val="8"/>
        <rFont val="News Gothic Condensed"/>
      </rPr>
      <t>U.S. Department of Health and Human Services, Centers for Medicare and Medicaid Services, Office of the Actuary</t>
    </r>
    <r>
      <rPr>
        <sz val="8"/>
        <rFont val="News Gothic Condensed"/>
      </rPr>
      <t xml:space="preserve">. </t>
    </r>
    <r>
      <rPr>
        <i/>
        <sz val="8"/>
        <rFont val="News Gothic Condensed"/>
      </rPr>
      <t>National Health Expenditures Accounts: Methodology Paper, 2011. Definitions, Sources, and Methods</t>
    </r>
    <r>
      <rPr>
        <sz val="8"/>
        <rFont val="News Gothic Condensed"/>
      </rPr>
      <t>. Available at: http://www.cms.gov/Research-Statistics-Data-and-Systems/Statistics-Trends-and-Reports/NationalHealthExpendData/Downloads/dsm-11.pdf (accessed August 12, 2013).</t>
    </r>
  </si>
  <si>
    <t>Linked Table: None</t>
  </si>
  <si>
    <t>Table  1.1.4. National Health Expenditures by Federal Source of Funds: Calendar Years 1960 to 2011</t>
  </si>
  <si>
    <t>FEDERAL HEALTH SPENDING</t>
  </si>
  <si>
    <t>PUBLIC HEALTH ACTIVITY</t>
  </si>
  <si>
    <t>CMS-REPORTED FEDERAL HEALTH SPENDING (9/2010)</t>
  </si>
  <si>
    <t xml:space="preserve">     DIFFERENCE</t>
  </si>
  <si>
    <t>Workers' Compensation total</t>
  </si>
  <si>
    <t>Maternal/ Child Health</t>
  </si>
  <si>
    <t xml:space="preserve"> Vocational Rehab-ilitation</t>
  </si>
  <si>
    <t xml:space="preserve">  Research</t>
  </si>
  <si>
    <t>Structures and equipment</t>
  </si>
  <si>
    <t>Dollars</t>
  </si>
  <si>
    <t>Percent</t>
  </si>
  <si>
    <t xml:space="preserve">Federal share </t>
  </si>
  <si>
    <t>Federal total</t>
  </si>
  <si>
    <t>Except where noted, all figures reported in [S2] and include administrative costs associated with public programs and administration of private health insurance. Figures in bold italics estimated by author using sources and methods describes in Notes. All other figures are reported in sources shown.</t>
  </si>
  <si>
    <t>Workers compensation includes expenditures for medical benefits from all sources, including federal, state and local government and private [S3]; no break-down by source is provided.</t>
  </si>
  <si>
    <t xml:space="preserve">CMS reports that for purposes of compiling National Health Expenditure Accounts, "Estimates by state are based on an annual report by the National Academy of Social Insurance. This is the only source of comprehensive national data on workers compensation benefits and costs. NASI began reporting these estimates after SSA discontinued them in 1995 (1993 was the last year of data estimated by SSA). Previously, workers’ compensation estimates were published annually in the Social Security Bulletin." [S3: 22]. All figures for 1960-2010 are reported in Table 4 of the NASI report [S1]; the figure for 2011 is calculated as the average of the 5 preceding years. Table 4 includes all workers' compensation benefits, of which only one third to one half are medical benefits, depending on year. However, because no historical tabulation of just medical benefits related to workers' compensation is readily available, these percentages provide at least a reasonable approximation of how the CMS total for workers' compensation is allocated between the federal government and other payers. </t>
  </si>
  <si>
    <t>All figures calculated: Federal total = Total x Federal share.</t>
  </si>
  <si>
    <t>All figures for 1960-1964 reported in [S4]. All other figures reported in [S5]. These figures account for the projected impact of the Affordable Care Act.</t>
  </si>
  <si>
    <t>All figures calculated: (Federal health spending) - (CMS-reported federal health spending).</t>
  </si>
  <si>
    <t>All figures calculated: Difference/(Federal health spending).</t>
  </si>
  <si>
    <r>
      <rPr>
        <b/>
        <sz val="8"/>
        <rFont val="News Gothic Condensed"/>
      </rPr>
      <t>Sengupta</t>
    </r>
    <r>
      <rPr>
        <sz val="8"/>
        <rFont val="News Gothic Condensed"/>
      </rPr>
      <t xml:space="preserve">, </t>
    </r>
    <r>
      <rPr>
        <b/>
        <sz val="8"/>
        <rFont val="News Gothic Condensed"/>
      </rPr>
      <t>Ishita</t>
    </r>
    <r>
      <rPr>
        <sz val="8"/>
        <rFont val="News Gothic Condensed"/>
      </rPr>
      <t xml:space="preserve">, </t>
    </r>
    <r>
      <rPr>
        <b/>
        <sz val="8"/>
        <rFont val="News Gothic Condensed"/>
      </rPr>
      <t>Virginia Reno</t>
    </r>
    <r>
      <rPr>
        <sz val="8"/>
        <rFont val="News Gothic Condensed"/>
      </rPr>
      <t xml:space="preserve">, </t>
    </r>
    <r>
      <rPr>
        <b/>
        <sz val="8"/>
        <rFont val="News Gothic Condensed"/>
      </rPr>
      <t>John F. Burton, Jr.</t>
    </r>
    <r>
      <rPr>
        <sz val="8"/>
        <rFont val="News Gothic Condensed"/>
      </rPr>
      <t xml:space="preserve">, and </t>
    </r>
    <r>
      <rPr>
        <b/>
        <sz val="8"/>
        <rFont val="News Gothic Condensed"/>
      </rPr>
      <t>Marjorie Baldwin</t>
    </r>
    <r>
      <rPr>
        <sz val="8"/>
        <rFont val="News Gothic Condensed"/>
      </rPr>
      <t xml:space="preserve">. </t>
    </r>
    <r>
      <rPr>
        <i/>
        <sz val="8"/>
        <rFont val="News Gothic Condensed"/>
      </rPr>
      <t>Workers’ Compensation: Benefits, Coverage, and Costs, 2010</t>
    </r>
    <r>
      <rPr>
        <sz val="8"/>
        <rFont val="News Gothic Condensed"/>
      </rPr>
      <t>. Washington, D.C.: National Academy of Social Insurance, August 2012. Available at: http://www.nasi.org/sites/default/files/research/NASI_Workers_Comp_2010.pdf (accessed August 12, 2013).</t>
    </r>
  </si>
  <si>
    <r>
      <rPr>
        <b/>
        <sz val="8"/>
        <rFont val="News Gothic Condensed"/>
      </rPr>
      <t>U.S. Department of Health and Human Services</t>
    </r>
    <r>
      <rPr>
        <sz val="8"/>
        <rFont val="News Gothic Condensed"/>
      </rPr>
      <t xml:space="preserve">, </t>
    </r>
    <r>
      <rPr>
        <b/>
        <sz val="8"/>
        <rFont val="News Gothic Condensed"/>
      </rPr>
      <t>Centers for Medicare and Medicaid Services, Office of the Actuary</t>
    </r>
    <r>
      <rPr>
        <sz val="8"/>
        <rFont val="News Gothic Condensed"/>
      </rPr>
      <t xml:space="preserve">. </t>
    </r>
    <r>
      <rPr>
        <i/>
        <sz val="8"/>
        <rFont val="News Gothic Condensed"/>
      </rPr>
      <t>National Health Expenditure (NHE) Amounts by Type of Service and Source of Funds: Calendar Years 2008-1960</t>
    </r>
    <r>
      <rPr>
        <sz val="8"/>
        <rFont val="News Gothic Condensed"/>
      </rPr>
      <t>. Last updated January 20, 2010. Available at: http://www.cms.hhs.gov/NationalHealthExpendData/downloads/nhe2008.zip (accessed July 5, 2011).</t>
    </r>
  </si>
  <si>
    <r>
      <rPr>
        <b/>
        <sz val="8"/>
        <rFont val="News Gothic Condensed"/>
      </rPr>
      <t>U.S. Department of Health and Human Services</t>
    </r>
    <r>
      <rPr>
        <sz val="8"/>
        <rFont val="News Gothic Condensed"/>
      </rPr>
      <t xml:space="preserve">, </t>
    </r>
    <r>
      <rPr>
        <b/>
        <sz val="8"/>
        <rFont val="News Gothic Condensed"/>
      </rPr>
      <t>Centers for Medicare and Medicaid Services, Office of the Actuary</t>
    </r>
    <r>
      <rPr>
        <sz val="8"/>
        <rFont val="News Gothic Condensed"/>
      </rPr>
      <t>. Updated NHE Historical and Projections</t>
    </r>
    <r>
      <rPr>
        <i/>
        <sz val="8"/>
        <rFont val="News Gothic Condensed"/>
      </rPr>
      <t xml:space="preserve"> 1965-2019 (September 2010)</t>
    </r>
    <r>
      <rPr>
        <sz val="8"/>
        <rFont val="News Gothic Condensed"/>
      </rPr>
      <t>. Last updated September, 2010. Available at: http://www.cms.gov/NationalHealthExpendData/downloads/Projectto2019.zip (accessed February 15, 2011).</t>
    </r>
  </si>
  <si>
    <t>Table  1.1.5. National Health Expenditures by State and Local Government Source of Funds: Calendar Years 1960 to 2011</t>
  </si>
  <si>
    <t>STATE AND LOCAL GOVERN-MENT HEALTH SPENDING</t>
  </si>
  <si>
    <t>CMS-REPORTED STATE AND LOCAL HEALTH SPENDING (9/2010)</t>
  </si>
  <si>
    <t>Vocational Rehab-ilitation</t>
  </si>
  <si>
    <t xml:space="preserve"> Research</t>
  </si>
  <si>
    <t xml:space="preserve">State funds share </t>
  </si>
  <si>
    <t>State and local government total</t>
  </si>
  <si>
    <t>Except where noted, all figures reported in [S3] and include administrative costs associated with public programs and administration of private health insurance.  Figures in bold italics estimated by author using sources and methods describes in Notes. All other figures are reported in sources shown.</t>
  </si>
  <si>
    <t>Workers compensation includes expenditures for medical benefits from all sources, including federal, state and local government and private [S5]; no break-down by source is provided.</t>
  </si>
  <si>
    <t xml:space="preserve">CMS reports that "all health care expenditures that are channeled through any program established by public law are treated as a public expenditure in the NHEA. For example, expenditures under workers’ compensation programs are included with government expenditures, even though they involve benefits paid by insurers from premiums that have been collected from private as well as public sources." [S4: 19]. Therefore, the percentages shown equal 100% minus the federal share of workers' compensation spending as reported in [S1]. </t>
  </si>
  <si>
    <t>All figures reported in [S6]. These figures account for the projected impact of the Affordable Care Act.</t>
  </si>
  <si>
    <t>All figures calculated: (State and local government health spending) - (CMS-reported health spending).</t>
  </si>
  <si>
    <t>All figures calculated: Difference/(State and local government health spending).</t>
  </si>
  <si>
    <r>
      <rPr>
        <b/>
        <sz val="8"/>
        <rFont val="News Gothic Condensed"/>
      </rPr>
      <t>Duke University,</t>
    </r>
    <r>
      <rPr>
        <sz val="8"/>
        <rFont val="News Gothic Condensed"/>
      </rPr>
      <t xml:space="preserve"> </t>
    </r>
    <r>
      <rPr>
        <b/>
        <sz val="8"/>
        <rFont val="News Gothic Condensed"/>
      </rPr>
      <t>Center for Health Policy and Inequalities Research</t>
    </r>
    <r>
      <rPr>
        <sz val="8"/>
        <rFont val="News Gothic Condensed"/>
      </rPr>
      <t xml:space="preserve">. </t>
    </r>
    <r>
      <rPr>
        <i/>
        <sz val="8"/>
        <rFont val="News Gothic Condensed"/>
      </rPr>
      <t>Table  1.1.4. National Health Expenditures by Federal Source of Funds: Calendar Years 1960 to 2011  [Levels in millions of dollars]</t>
    </r>
    <r>
      <rPr>
        <sz val="8"/>
        <rFont val="News Gothic Condensed"/>
      </rPr>
      <t>. Durham: Duke University, August 13, 2013.</t>
    </r>
  </si>
  <si>
    <r>
      <rPr>
        <b/>
        <sz val="8"/>
        <rFont val="News Gothic Condensed"/>
      </rPr>
      <t>U.S. Department of Health and Human Services, Centers for Medicare and Medicaid Services, Office of the Actuary</t>
    </r>
    <r>
      <rPr>
        <sz val="8"/>
        <rFont val="News Gothic Condensed"/>
      </rPr>
      <t xml:space="preserve">. </t>
    </r>
    <r>
      <rPr>
        <i/>
        <sz val="8"/>
        <rFont val="News Gothic Condensed"/>
      </rPr>
      <t>National Health Expenditures Accounts: Definitions, Sources, and Methods, 2008</t>
    </r>
    <r>
      <rPr>
        <sz val="8"/>
        <rFont val="News Gothic Condensed"/>
      </rPr>
      <t>. Available at: http://www.scribesstat.com/wp-content/uploads/2010/12/National-Health-Expenditures-SOURCE.pdf (accessed August 12, 2013).</t>
    </r>
  </si>
  <si>
    <r>
      <rPr>
        <b/>
        <sz val="8"/>
        <rFont val="News Gothic Condensed"/>
      </rPr>
      <t>U.S. Department of Health and Human Services</t>
    </r>
    <r>
      <rPr>
        <sz val="8"/>
        <rFont val="News Gothic Condensed"/>
      </rPr>
      <t xml:space="preserve">, </t>
    </r>
    <r>
      <rPr>
        <b/>
        <sz val="8"/>
        <rFont val="News Gothic Condensed"/>
      </rPr>
      <t>Centers for Medicare and Medicaid Services, Office of the Actuary</t>
    </r>
    <r>
      <rPr>
        <sz val="8"/>
        <rFont val="News Gothic Condensed"/>
      </rPr>
      <t xml:space="preserve">. </t>
    </r>
    <r>
      <rPr>
        <i/>
        <sz val="8"/>
        <rFont val="News Gothic Condensed"/>
      </rPr>
      <t>Updated NHE Historical and Projections 1965-2019 (September 2010)</t>
    </r>
    <r>
      <rPr>
        <sz val="8"/>
        <rFont val="News Gothic Condensed"/>
      </rPr>
      <t>. Last updated September, 2010. Available at: http://www.cms.gov/NationalHealthExpendData/downloads/Projectto2019.zip (accessed February 15, 2010).</t>
    </r>
  </si>
  <si>
    <t>Table  1.1.6. National Health Expenditures by Private Source of Funds: Calendar Years 1960 to 2011</t>
  </si>
  <si>
    <t>PRIVATE HEALTH SPENDING</t>
  </si>
  <si>
    <t>PRIVATE HEALTH INSUR-ANCE</t>
  </si>
  <si>
    <t>CMS-REPORTED PRIVATE HEALTH SPENDING (9/2010)</t>
  </si>
  <si>
    <t xml:space="preserve">         Worksite Health Care</t>
  </si>
  <si>
    <t>Other Private Revenues</t>
  </si>
  <si>
    <t>Research</t>
  </si>
  <si>
    <t>Except where noted, all figures reported in [S1] and include administrative costs associated with public programs and administration of private health insurance.</t>
  </si>
  <si>
    <t>All figures reported in [S2]. These figures account for the projected impact of the Affordable Care Act.</t>
  </si>
  <si>
    <t>All figures calculated: (Private health spending) - (CMS-reported private health spending).</t>
  </si>
  <si>
    <t>All figures calculated: Difference/(Private health spending).</t>
  </si>
  <si>
    <r>
      <rPr>
        <b/>
        <sz val="8"/>
        <rFont val="News Gothic Condensed"/>
      </rPr>
      <t>U.S. Department of Health and Human Services</t>
    </r>
    <r>
      <rPr>
        <sz val="8"/>
        <rFont val="News Gothic Condensed"/>
      </rPr>
      <t xml:space="preserve">, </t>
    </r>
    <r>
      <rPr>
        <b/>
        <sz val="8"/>
        <rFont val="News Gothic Condensed"/>
      </rPr>
      <t>Centers for Medicare and Medicaid Services, Office of the Actuary</t>
    </r>
    <r>
      <rPr>
        <sz val="8"/>
        <rFont val="News Gothic Condensed"/>
      </rPr>
      <t>. Updated NHE Historical and Projections</t>
    </r>
    <r>
      <rPr>
        <i/>
        <sz val="8"/>
        <rFont val="News Gothic Condensed"/>
      </rPr>
      <t xml:space="preserve"> 1965-2019 (September 2010)</t>
    </r>
    <r>
      <rPr>
        <sz val="8"/>
        <rFont val="News Gothic Condensed"/>
      </rPr>
      <t>. Last updated September, 2010. Available at: http://www.cms.gov/NationalHealthExpendData/downloads/Projectto2019.zip (accessed February 15, 2010).</t>
    </r>
  </si>
  <si>
    <t>Table  1.1.7. National Health Expenditures by Major Source of Funds: Calendar Years 1970 to 2021</t>
  </si>
  <si>
    <t>TOTAL NATIONAL HEALTH EXPEND-ITURES (6/2012)</t>
  </si>
  <si>
    <t>OTHER THIRD PARTY PAYERS AND PROGRAMS</t>
  </si>
  <si>
    <t>TOTAL NATIONAL HEALTH EXPENDI-TURES (12/2012)</t>
  </si>
  <si>
    <t>Other health insurance</t>
  </si>
  <si>
    <t>All figures include administrative costs associated with public programs and administration of private health insurance. Note that all projected figures are outdated due to the release of more recent historical data in December 2012 [S3].  The most accurate projections appear in [S1].</t>
  </si>
  <si>
    <t xml:space="preserve">All figures reported in [S2]. </t>
  </si>
  <si>
    <t>All figures reported in [S3]. These figures are six months more recent, hence presumed to be more accurate than the remaining figures in the table.</t>
  </si>
  <si>
    <t>All figures calculated: (Total national health expenditures, 12/2012) - (Total national health expenditures, 6/2012).</t>
  </si>
  <si>
    <t>All figures calculated: Difference/(Total national health expenditures, 6/2012).</t>
  </si>
  <si>
    <r>
      <rPr>
        <b/>
        <sz val="8"/>
        <rFont val="News Gothic Condensed"/>
      </rPr>
      <t>Duke University,</t>
    </r>
    <r>
      <rPr>
        <sz val="8"/>
        <rFont val="News Gothic Condensed"/>
      </rPr>
      <t xml:space="preserve"> </t>
    </r>
    <r>
      <rPr>
        <b/>
        <sz val="8"/>
        <rFont val="News Gothic Condensed"/>
      </rPr>
      <t>Center for Health Policy and Inequalities Research</t>
    </r>
    <r>
      <rPr>
        <sz val="8"/>
        <rFont val="News Gothic Condensed"/>
      </rPr>
      <t xml:space="preserve">. </t>
    </r>
    <r>
      <rPr>
        <i/>
        <sz val="8"/>
        <rFont val="News Gothic Condensed"/>
      </rPr>
      <t>Table  1.1.8. National Health Expenditures by Major Source of Funds: Calendar Years 1960 to 2021  [Levels in millions of dollars]</t>
    </r>
    <r>
      <rPr>
        <sz val="8"/>
        <rFont val="News Gothic Condensed"/>
      </rPr>
      <t>. Durham: Duke University, August 24, 2013.</t>
    </r>
  </si>
  <si>
    <t>Table  1.1.8. National Health Expenditures by Major Source of Funds: Calendar Years 1960 to 2021</t>
  </si>
  <si>
    <t>NATIONAL HEALTH EXPENDITURES</t>
  </si>
  <si>
    <t>Private</t>
  </si>
  <si>
    <t>Except where noted, all figures reported in [S1] and include administrative costs associated with public programs and administration of private health insurance.  Figures in bold italics estimated by author using sources and methods describes in Notes. All other figures are reported in sources shown.</t>
  </si>
  <si>
    <t xml:space="preserve">All figures reported in [S1]. </t>
  </si>
  <si>
    <t>All figures calculated as the sum of component parts shown in adjacent columns.</t>
  </si>
  <si>
    <t>All figures for 1960-2011 reported in [S2]. All figures for 2012-2021 calculated in Parameters [P1].</t>
  </si>
  <si>
    <t>All figures for 1960-2011 reported in [S2]. All figures for 2012-2021 calculated in Parameters {P1].</t>
  </si>
  <si>
    <t>All figures for 1960-2011 reported in [S2]. All federal spending figures for 2012-2021 calculated based on the federal shares of Medicaid spending (by fiscal year) estimated in Parameters [P3]; state figures are calculated as a residual.</t>
  </si>
  <si>
    <t>All federal figures for 1960-2011 reported in [S3]; all state and local figures for those years reported in [S4]; private figures for those years reported in [S5]. For 2012-2021, all figures calculated from Total by applying percentages derived in Parameters [P4].</t>
  </si>
  <si>
    <t>All figures for 1960-2011 reported in [S2]. For 2012-2021, all figures calculated by summing the estimates for component parts.</t>
  </si>
  <si>
    <t>Projection Parameters for Major Spending Components</t>
  </si>
  <si>
    <t>Total national health expend-itures</t>
  </si>
  <si>
    <t>Preliminary Totals</t>
  </si>
  <si>
    <t>Adjust-ment factor</t>
  </si>
  <si>
    <t>Adjusted Totals</t>
  </si>
  <si>
    <t>Summed total</t>
  </si>
  <si>
    <t>Out of pocket</t>
  </si>
  <si>
    <t>Health insurance</t>
  </si>
  <si>
    <t>Other third party payers</t>
  </si>
  <si>
    <t>Public health activity</t>
  </si>
  <si>
    <t>Struc-tures</t>
  </si>
  <si>
    <t>All figures for 2012-2021 calculated using annual growth rate from prior year calculated from projections reported in [S7].</t>
  </si>
  <si>
    <t xml:space="preserve">Sum of individual components shown. </t>
  </si>
  <si>
    <t>All figures calculated: (Total national health expenditures)/(Summed total)</t>
  </si>
  <si>
    <t>All figures calculated: (Preliminary total) x (Adjustment factor)</t>
  </si>
  <si>
    <t>Projection Parameters for Health Insurance</t>
  </si>
  <si>
    <t>Total health insurance</t>
  </si>
  <si>
    <t>Adjustment factor</t>
  </si>
  <si>
    <t>[P2e]</t>
  </si>
  <si>
    <t>All figures are Adjusted Totals reported in Parameters [P1].</t>
  </si>
  <si>
    <t>All figures calculated from 2012 actual figures assuming the same year-to-year growth rate for each respective component as projected by CMS in June 2012. These were calculated using data reported in [S6], e.g., Private health insurance spending2013 = (Private health insurance spending2012) x (June 2012 projections of private health insurance spending2013) /(June 2012 projections of private health insurance spending2012).</t>
  </si>
  <si>
    <t>All figures calculated: (Total health insurance)/(Summed total)</t>
  </si>
  <si>
    <t>Projection Parameters for Federal and State Shares of Medicaid</t>
  </si>
  <si>
    <t xml:space="preserve">Fiscal Year </t>
  </si>
  <si>
    <t>Projected Medicaid Spending (billions)</t>
  </si>
  <si>
    <t>Federal share of spending</t>
  </si>
  <si>
    <t xml:space="preserve">Federal </t>
  </si>
  <si>
    <t>All figures are CMS projections reported in Table 3 of [S7].</t>
  </si>
  <si>
    <t>Projection Parameters for Federal, State/Local and Private Shares of Selected Spending Components</t>
  </si>
  <si>
    <t>Other third party payers and programs</t>
  </si>
  <si>
    <t>Projected</t>
  </si>
  <si>
    <t>All historical figures calculated from estimates shown in main table. Projected figure calculated as the average of the preceding 5 years.</t>
  </si>
  <si>
    <t>All historical figures calculated from estimates shown in main table. Since the share was declining during at least 4 of the past 5 years, the projected figure is calculated using a least-squares trend projection based on the preceding 5 years.</t>
  </si>
  <si>
    <r>
      <rPr>
        <b/>
        <sz val="8"/>
        <rFont val="News Gothic Condensed"/>
      </rPr>
      <t>Duke University,</t>
    </r>
    <r>
      <rPr>
        <sz val="8"/>
        <rFont val="News Gothic Condensed"/>
      </rPr>
      <t xml:space="preserve"> </t>
    </r>
    <r>
      <rPr>
        <b/>
        <sz val="8"/>
        <rFont val="News Gothic Condensed"/>
      </rPr>
      <t>Center for Health Policy and Inequalities Research</t>
    </r>
    <r>
      <rPr>
        <sz val="8"/>
        <rFont val="News Gothic Condensed"/>
      </rPr>
      <t xml:space="preserve">. </t>
    </r>
    <r>
      <rPr>
        <i/>
        <sz val="8"/>
        <rFont val="News Gothic Condensed"/>
      </rPr>
      <t>Table  1.1. U.S. Total Real National Health Expenditures Using Alternative Price Deflators: 1929 to 2021</t>
    </r>
    <r>
      <rPr>
        <sz val="8"/>
        <rFont val="News Gothic Condensed"/>
      </rPr>
      <t>. Durham: Duke University, August 10, 2013.</t>
    </r>
  </si>
  <si>
    <r>
      <rPr>
        <b/>
        <sz val="8"/>
        <rFont val="News Gothic Condensed"/>
      </rPr>
      <t>Duke University,</t>
    </r>
    <r>
      <rPr>
        <sz val="8"/>
        <rFont val="News Gothic Condensed"/>
      </rPr>
      <t xml:space="preserve"> </t>
    </r>
    <r>
      <rPr>
        <b/>
        <sz val="8"/>
        <rFont val="News Gothic Condensed"/>
      </rPr>
      <t>Center for Health Policy and Inequalities Research</t>
    </r>
    <r>
      <rPr>
        <sz val="8"/>
        <rFont val="News Gothic Condensed"/>
      </rPr>
      <t xml:space="preserve">. </t>
    </r>
    <r>
      <rPr>
        <i/>
        <sz val="8"/>
        <rFont val="News Gothic Condensed"/>
      </rPr>
      <t>Table  1.1.3. National Health Expenditures by Type of Service and Source of Funds: Calendar Years 1960 to 2011  [Levels in millions of dollars]</t>
    </r>
    <r>
      <rPr>
        <sz val="8"/>
        <rFont val="News Gothic Condensed"/>
      </rPr>
      <t>. Durham: Duke University, August 12, 2013.</t>
    </r>
  </si>
  <si>
    <r>
      <rPr>
        <b/>
        <sz val="8"/>
        <rFont val="News Gothic Condensed"/>
      </rPr>
      <t>Duke University,</t>
    </r>
    <r>
      <rPr>
        <sz val="8"/>
        <rFont val="News Gothic Condensed"/>
      </rPr>
      <t xml:space="preserve"> </t>
    </r>
    <r>
      <rPr>
        <b/>
        <sz val="8"/>
        <rFont val="News Gothic Condensed"/>
      </rPr>
      <t>Center for Health Policy and Inequalities Research</t>
    </r>
    <r>
      <rPr>
        <sz val="8"/>
        <rFont val="News Gothic Condensed"/>
      </rPr>
      <t xml:space="preserve">. </t>
    </r>
    <r>
      <rPr>
        <i/>
        <sz val="8"/>
        <rFont val="News Gothic Condensed"/>
      </rPr>
      <t>Table  1.1.5. National Health Expenditures by State and Local Government Source of Funds: Calendar Years 1960 to 2011  [Levels in millions of dollars]</t>
    </r>
    <r>
      <rPr>
        <sz val="8"/>
        <rFont val="News Gothic Condensed"/>
      </rPr>
      <t>. Durham: Duke University, August 13, 2013.</t>
    </r>
  </si>
  <si>
    <r>
      <rPr>
        <b/>
        <sz val="8"/>
        <rFont val="News Gothic Condensed"/>
      </rPr>
      <t>Duke University,</t>
    </r>
    <r>
      <rPr>
        <sz val="8"/>
        <rFont val="News Gothic Condensed"/>
      </rPr>
      <t xml:space="preserve"> </t>
    </r>
    <r>
      <rPr>
        <b/>
        <sz val="8"/>
        <rFont val="News Gothic Condensed"/>
      </rPr>
      <t>Center for Health Policy and Inequalities Research</t>
    </r>
    <r>
      <rPr>
        <sz val="8"/>
        <rFont val="News Gothic Condensed"/>
      </rPr>
      <t xml:space="preserve">. </t>
    </r>
    <r>
      <rPr>
        <i/>
        <sz val="8"/>
        <rFont val="News Gothic Condensed"/>
      </rPr>
      <t>Table  1.1.6. National Health Expenditures by Private Source of Funds: Calendar Years 1960 to 2011  [Levels in millions of dollars]</t>
    </r>
    <r>
      <rPr>
        <sz val="8"/>
        <rFont val="News Gothic Condensed"/>
      </rPr>
      <t>. Durham: Duke University, August 13, 2013.</t>
    </r>
  </si>
  <si>
    <r>
      <rPr>
        <b/>
        <sz val="8"/>
        <rFont val="News Gothic Condensed"/>
      </rPr>
      <t>U.S. Department of Health and Human Services, Centers for Medicare and Medicaid Services, Office of the Actuary</t>
    </r>
    <r>
      <rPr>
        <sz val="8"/>
        <rFont val="News Gothic Condensed"/>
      </rPr>
      <t>. 2012 Actuarial Report on the Financial Outlook for Medicaid</t>
    </r>
    <r>
      <rPr>
        <i/>
        <sz val="8"/>
        <rFont val="News Gothic Condensed"/>
      </rPr>
      <t xml:space="preserve">. </t>
    </r>
    <r>
      <rPr>
        <sz val="8"/>
        <rFont val="News Gothic Condensed"/>
      </rPr>
      <t>Last updated February 27, 2013. Available at: http://medicaid.gov/Medicaid-CHIP-Program-Information/By-Topics/Financing-and-Reimbursement/Downloads/medicaid-actuarial-report-2012.pdf (accessed August 23, 2013).</t>
    </r>
  </si>
  <si>
    <t>Linked Tables: Table 1.1, Table 1.1.3, Table 1.1.4, Table 1.1.5, Table 1.1.6, Table 1.1.7</t>
  </si>
  <si>
    <t>Table  1.3. Health Expenditures as a Share of U.S. GDP, Federal Outlays, State and Local Government Outlays: 1929 to 2021</t>
  </si>
  <si>
    <t>[Levels in billions of dollars, except as noted]</t>
  </si>
  <si>
    <t>NHE AS PERCENT OF GDP</t>
  </si>
  <si>
    <t>HEALTH EXPENDITURES AS A PERCENT OF GOVERNMENT</t>
  </si>
  <si>
    <t>HEALTH CARE AS PERCENT OF PERSONAL CONSUMPTION EXPENDITURES</t>
  </si>
  <si>
    <t>All governments</t>
  </si>
  <si>
    <t>Health as Percent of Total</t>
  </si>
  <si>
    <t>Federal government</t>
  </si>
  <si>
    <t>State and local government</t>
  </si>
  <si>
    <t>Expendi-tures</t>
  </si>
  <si>
    <t>Rev-enues</t>
  </si>
  <si>
    <t>Expenditures</t>
  </si>
  <si>
    <t>Revenue</t>
  </si>
  <si>
    <t>Excluding Federal revenue</t>
  </si>
  <si>
    <t>Health care PCE</t>
  </si>
  <si>
    <t>Including net health insurance</t>
  </si>
  <si>
    <t>All figures calculated using NHE figures reported in [S1] and GDP figures reported in [S2].</t>
  </si>
  <si>
    <t>All figures calculated from total health expenditure figures reported in [S2] divided by total expenditures reported in [S2]; total expenditures equal federal expenditures plus state and local expenditures minus federal grant-in-aid revenues.</t>
  </si>
  <si>
    <t>All figures calculated from total health expenditure figures reported in [S2] divided by total revenues reported in [S2]; total revenues equal federal revenues plus state and local revenues excluding federal grant-in-aid revenues.</t>
  </si>
  <si>
    <t>All figures calculated using figures reported in [S2].</t>
  </si>
  <si>
    <t>All figures calculated using figures reported in [S3].</t>
  </si>
  <si>
    <r>
      <rPr>
        <b/>
        <sz val="8"/>
        <rFont val="News Gothic Condensed"/>
      </rPr>
      <t>Duke University,</t>
    </r>
    <r>
      <rPr>
        <sz val="8"/>
        <rFont val="News Gothic Condensed"/>
      </rPr>
      <t xml:space="preserve"> </t>
    </r>
    <r>
      <rPr>
        <b/>
        <sz val="8"/>
        <rFont val="News Gothic Condensed"/>
      </rPr>
      <t>Center for Health Policy and Inequalities Research</t>
    </r>
    <r>
      <rPr>
        <sz val="8"/>
        <rFont val="News Gothic Condensed"/>
      </rPr>
      <t xml:space="preserve">. </t>
    </r>
    <r>
      <rPr>
        <i/>
        <sz val="8"/>
        <rFont val="News Gothic Condensed"/>
      </rPr>
      <t>Table  1.3.1.  U.S. GDP, Total Expenditures, Total Revenues and Health Expenditures by Level of Government: 1929 to 2020</t>
    </r>
    <r>
      <rPr>
        <sz val="8"/>
        <rFont val="News Gothic Condensed"/>
      </rPr>
      <t>. Durham: Duke University, August 25, 2013.</t>
    </r>
  </si>
  <si>
    <r>
      <rPr>
        <b/>
        <sz val="8"/>
        <rFont val="News Gothic Condensed"/>
      </rPr>
      <t>Duke University,</t>
    </r>
    <r>
      <rPr>
        <sz val="8"/>
        <rFont val="News Gothic Condensed"/>
      </rPr>
      <t xml:space="preserve"> </t>
    </r>
    <r>
      <rPr>
        <b/>
        <sz val="8"/>
        <rFont val="News Gothic Condensed"/>
      </rPr>
      <t>Center for Health Policy and Inequalities Research</t>
    </r>
    <r>
      <rPr>
        <sz val="8"/>
        <rFont val="News Gothic Condensed"/>
      </rPr>
      <t xml:space="preserve">. </t>
    </r>
    <r>
      <rPr>
        <i/>
        <sz val="8"/>
        <rFont val="News Gothic Condensed"/>
      </rPr>
      <t>Table  1.3.3.  U.S. Personal Consumption Expenditures, Total Wages and Salaries, Private Business Wages and Salaries and Profits: 1929 to 2021</t>
    </r>
    <r>
      <rPr>
        <sz val="8"/>
        <rFont val="News Gothic Condensed"/>
      </rPr>
      <t>. Durham: Duke University, August 26, 2013.</t>
    </r>
  </si>
  <si>
    <t>Linked Tables: Table 1.1, Table 1.3.1, Table 1.3.3</t>
  </si>
  <si>
    <t>Table  1.3.1.  U.S. GDP, Total Expenditures, Total Revenues and Health Expenditures by Level of Government: 1929 to 2021</t>
  </si>
  <si>
    <t>GROSS DO-MESTIC PRODUCT</t>
  </si>
  <si>
    <t>FEDERAL GOVERNMENT</t>
  </si>
  <si>
    <t>STATE &amp; LOCAL GOVERNMENT</t>
  </si>
  <si>
    <t>ALL GOVERNMENTS</t>
  </si>
  <si>
    <t>Total expend-itures</t>
  </si>
  <si>
    <t>Total rev-enues</t>
  </si>
  <si>
    <t>Health expend-itures (millions)</t>
  </si>
  <si>
    <t>Total revenues</t>
  </si>
  <si>
    <t>Health expenditures (millions)</t>
  </si>
  <si>
    <t>Excluding Federal revenues</t>
  </si>
  <si>
    <t>All revenue sources</t>
  </si>
  <si>
    <t>Federal grants-in-aid</t>
  </si>
  <si>
    <t>Total including federal grants-in-aid</t>
  </si>
  <si>
    <t>Own source health spending</t>
  </si>
  <si>
    <t>Figures for 1929-2012 are BEA estimates from the National Income and Products Accounts, as reported in [S11]. Figures for 2013-2021 are projected from CBO estimates of growth rates as calculated in [P1].</t>
  </si>
  <si>
    <t xml:space="preserve">Figures for 1929-2012 are BEA estimates of federal government total expenditures from the National Income and Products Accounts, as reported in [S12].  These estimates include current expenditures, gross government investment, capital transfer payments, and net purchases of nonproduced assets minus consumption of fixed capital. For the years prior to 1960, figures for net purchases of nonproduced assets are not reported (these constituted 0.5% of BEA-reported federal government total expenditures in 1960). Likewise, capital transfer payments are not reported prior to 1937 (these constituted 1.4% of estimated federal government total expenditures in 1937 and 2.4% of BEA-reported total spending in 1960). For these years, BEA does not report total federal spending, so the figures shown were conservatively estimated by summing the components of spending that are reported (without attempting to impute values for any missing components). Figures for 2013-2021 estimated by applying annual growth rates derived from CBO budget projections shown in [P3], starting with base year 2010. The BEA measure of total federal expenditures for FY2009 was about 4.9% lower than the budget outlay figure comparable to the figures reported by CBO (calculations by author based on figures from  [S14]). </t>
  </si>
  <si>
    <t xml:space="preserve">Figures for 1929-2012 are BEA estimates of federal government total receipts from the National Income and Products Accounts, as reported in [S12, line 36].  These estimates include current receipts and capital transfer receipts. Figures for 2013-2021 estimated by applying annual growth rates derived from CBO budget projections shown in [P2], starting with base year 2012. In FY2009, the BEA measure of total federal government current receipts was about 5.4% higher than the budget receipts figure comparable to the figures reported by CBO (calculations by author based on figures from [S14]). </t>
  </si>
  <si>
    <t>Figures prior to 1960 estimated by author in [P4]. Figures for 1960-2021 reported in [S5]. Note that state and local health expenditures reported in the National Health Accounts is net of federal reimbursements and grants-in-aid (including Medicaid and other categorical or block grant programs related to health).</t>
  </si>
  <si>
    <t>Figures for 1929-2012 are BEA estimates from the National Income and Products Accounts of state and local government total expenditures, as reported in [S13, line 32]. Since there has been no clear trend in state and local government spending as a share of GDP over the past decade [P5], figures for 2013-2021 are calculated from GDP projections using the average state and local government expenditures share of GDP between 2003-2012, as reported in  [P5].</t>
  </si>
  <si>
    <t xml:space="preserve">All figures are calculated by subtracting receipts from federal grants-in-aid (reported in adjacent revenue column) from total state and local government expenditures. </t>
  </si>
  <si>
    <t>Figures for 1929-2012 are BEA estimates from the National Income and Products Accounts of state and local government total receipts, as reported in [S13, line 29]. Since there has been no clear trend in state and local government revenues as a share of GDP over the past decade [P5], figures for 2013-2021 are calculated from GDP projections using the average state and local government revenues share of GDP between 2003-2012, as reported in  [P5].</t>
  </si>
  <si>
    <t>Figures for 1929-2012 are BEA estimates from the National Income and Products Accounts of federal grants-in-aid to state and local governments, as reported in [S13, line 17]. Figures for 2013-2021 are estimated in [S6].</t>
  </si>
  <si>
    <t xml:space="preserve">All figures are calculated by subtracting receipts from federal grants-in-aid (reported in adjacent revenue column) from total state and local revenues. </t>
  </si>
  <si>
    <t>All figures exclude federal grants-in-aid related to health. Figures for 1929-1959 are derived in Parameters [P4]. All figures from 1960-2021 are reported in [S5].</t>
  </si>
  <si>
    <t>All figures  reported in [S6].</t>
  </si>
  <si>
    <t>To avoid double-counting, total expenditure and revenue figures shown are calculated as the sum of figures reported in adjacent columns for federal government and state government excluding federal expenditures and revenues, respectively. By definition, the totals reported for federal and state &amp; local health spending in the National Health Expenditure Accounts are non-overlapping (reported state and local health spending figures are net of federal grants-in-aid).</t>
  </si>
  <si>
    <t>Adjustment for Projected GDP, 2013-2021</t>
  </si>
  <si>
    <t>GDP estimates (millions of dollars)</t>
  </si>
  <si>
    <t>Ratio: BEA/CBO</t>
  </si>
  <si>
    <t>Annual growth rate</t>
  </si>
  <si>
    <t>CBO (5/13) Calendar Year</t>
  </si>
  <si>
    <t>BEA (7/13)</t>
  </si>
  <si>
    <t>All figures reported in [S10]. These are February 2013 estimates; however, the fiscal year estimates of GDP reported by the CBO in February 2013 (Table 1.1 in [S8]) and May 2013 (Table 1 in [S9]) are identical; hence there presumably was no change in the calendar year estimates either.</t>
  </si>
  <si>
    <t>All figures reported in [S11]. Note that BEA substantially revised its GDP series in July 2013.</t>
  </si>
  <si>
    <t>All figures calculated from data shown in adjacent columns.</t>
  </si>
  <si>
    <t>Adjustment for Projected Federal Outlays and Revenues, 2013-2021</t>
  </si>
  <si>
    <t>CBO Federal budget projections (millions of dollars)</t>
  </si>
  <si>
    <t>Outlays</t>
  </si>
  <si>
    <t>Revenues</t>
  </si>
  <si>
    <t>FY2012</t>
  </si>
  <si>
    <t>FY2013</t>
  </si>
  <si>
    <t>FY2014</t>
  </si>
  <si>
    <t>FY2015</t>
  </si>
  <si>
    <t>FY2016</t>
  </si>
  <si>
    <t>FY2017</t>
  </si>
  <si>
    <t>FY2018</t>
  </si>
  <si>
    <t>FY2019</t>
  </si>
  <si>
    <t>FY2020</t>
  </si>
  <si>
    <t>FY2021</t>
  </si>
  <si>
    <t>All figures represent total federal outlays (including off-budget expenditures) reported in Table 1 in [S9]; FY2012 figures are actual; all others are projections.</t>
  </si>
  <si>
    <t>All figures calculated from figures shown in adjacent columns.</t>
  </si>
  <si>
    <t>Adjustment for Historical Data on Health-related Research and Construction Funding, 1929-1965 (all figures in millions of dollars)</t>
  </si>
  <si>
    <t>Publicly Funded (1975 estimate)</t>
  </si>
  <si>
    <t>Publicly Funded Expenditures (12/2012 estimate)</t>
  </si>
  <si>
    <t>Estimated Expenditures</t>
  </si>
  <si>
    <t>Construction</t>
  </si>
  <si>
    <t>Federal share</t>
  </si>
  <si>
    <t>Construct-ion</t>
  </si>
  <si>
    <t>State</t>
  </si>
  <si>
    <t>Construc-tion</t>
  </si>
  <si>
    <t>[P3.1]</t>
  </si>
  <si>
    <t>Ratio: 2012/1975 estimates of publicly funded spending on research</t>
  </si>
  <si>
    <t>[P3.2]</t>
  </si>
  <si>
    <t>Ratio: 2012/1975 estimates of publicly funded spending on construction</t>
  </si>
  <si>
    <t>All figures reported in Table 6 of [S1].</t>
  </si>
  <si>
    <t>All figures reported in [S2].</t>
  </si>
  <si>
    <t>All figures for which 1975 estimates of federal spending are reported in column one are calculated: Federal spending = (1975 estimated spending) x (Ratio: 2012/1975 estimates of publicly funded spending on research [P3.1]) x (Federal share of research funding).  All remaining figures are interpolated assuming a constant annual growth rate between years with reported data.</t>
  </si>
  <si>
    <t>All figures for which 1975 estimates of federal spending are reported in column one are calculated: Federal spending = (1975 estimated spending) x (Ratio: 2012/1975 estimates of publicly funded spending on construction [P3.1]) x (Federal share of construction funding). All remaining figures are interpolated assuming a constant annual growth rate between years with reported data.</t>
  </si>
  <si>
    <t>Adjustment for Federal, State and Local Health Spending (all figures in millions of dollars)</t>
  </si>
  <si>
    <t>Federal Health Spending</t>
  </si>
  <si>
    <t>S&amp;L Health Spending</t>
  </si>
  <si>
    <t>Personal health care (1972 estimate)</t>
  </si>
  <si>
    <t>Federal PHCE (2012 estimate)</t>
  </si>
  <si>
    <t>Ratio: 2012/ 1972 estimates</t>
  </si>
  <si>
    <t>Estimated Federal NHE (calendar year)</t>
  </si>
  <si>
    <t>Personal health care (1972 est.)</t>
  </si>
  <si>
    <t>S&amp;L PHCE (2012 estimate)</t>
  </si>
  <si>
    <t>Ratio: 2012/ 1972</t>
  </si>
  <si>
    <t>Estimated State &amp; local NHE (calendar year)</t>
  </si>
  <si>
    <t>[P4f]</t>
  </si>
  <si>
    <t>[P4g]</t>
  </si>
  <si>
    <t>[P4h]</t>
  </si>
  <si>
    <t>Non-bold-face figures shown represent federal funds related to personal health care expenditures, as reported in Table 5 of [S7]. Data are for federal fiscal years, which ran from July 1 to June 30 in the years shown. Between 1929 and 1955, PHCE represented from 93-98% of NHE, depending on year, with the balance related to research and construction. The original source did not provide figures on federal funds related to these latter components of NHE. Bold-face figures are interpolated assuming a constant annual growth rate between years with reported data.</t>
  </si>
  <si>
    <t>Figures for 1960 and 1965 are calendar year estimates of federal funds related to personal health care expenditures, derived by subtracting federal spending on research, structures and equipment from total federal health spending reported in [S3]. All other figures calculated: (Personal health care, 1972 estimate) x (Ratio: 2012/1972 estimates).</t>
  </si>
  <si>
    <t>Ratio = (Federal spending on personal health care, 2012 estimate)/(Federal spending on personal health care, 1972 estimate). The 1960 ratio was assumed to apply to all years prior to 1960.</t>
  </si>
  <si>
    <t>All figures calculated: (Federal PHCE, 2012 estimate) + (Estimated Federal Research) + (Estimated Federal Construction). Research and construction spending are estimated in [P3].</t>
  </si>
  <si>
    <t>Non-bold-face figures shown represent state and local government funds related to personal health care expenditures, as reported in Table 5 of [S7]. Data are for federal fiscal years, which ran from July 1 to June 30 in the years shown. The original source did not provide figures on state and local government funds related to research and construction.</t>
  </si>
  <si>
    <t>Figures for 1960 and 1965 are calendar year estimates of state and local funds related to personal health care expenditures, derived by subtracting state and local spending on research, structures and equipment from total state and local health spending reported in [S4]. All other figures calculated: (Personal health care, 1972 estimate) x (Ratio: 2012/1972 estimates).</t>
  </si>
  <si>
    <t>Ratio = (State and local spending on personal health care, 2012 estimate)/(State and local spending on personal health care, 1972 estimate). The 1960 ratio was assumed to apply to all years prior to 1960.</t>
  </si>
  <si>
    <t>Figures shown have been calculated using the same sources and methods as described in in [P4d] use state and local health spending estimates.</t>
  </si>
  <si>
    <t>Adjustment for Federal Outlays and Revenues (all figures in millions of dollars)</t>
  </si>
  <si>
    <t>Federal budget estimates</t>
  </si>
  <si>
    <t>State &amp; Local</t>
  </si>
  <si>
    <t>Growth rate ratio: S&amp;L/Federal</t>
  </si>
  <si>
    <t>State &amp; local government percentage of GDP</t>
  </si>
  <si>
    <t>Expend-itures</t>
  </si>
  <si>
    <t>All figures shown in main table above.</t>
  </si>
  <si>
    <t>All figures calculated from figures shown in adjacent columns. Averages are arithmetic means for the years 2003-2012.</t>
  </si>
  <si>
    <t>All figures calculated from figures shown in main table above. Figure shown in average row is calculated as a least squares trend line using the years 2003-2012.</t>
  </si>
  <si>
    <r>
      <rPr>
        <b/>
        <sz val="8"/>
        <rFont val="News Gothic Condensed"/>
      </rPr>
      <t>Duke University,</t>
    </r>
    <r>
      <rPr>
        <sz val="8"/>
        <rFont val="News Gothic Condensed"/>
      </rPr>
      <t xml:space="preserve"> </t>
    </r>
    <r>
      <rPr>
        <b/>
        <sz val="8"/>
        <rFont val="News Gothic Condensed"/>
      </rPr>
      <t>Center for Health Policy and Inequalities Research</t>
    </r>
    <r>
      <rPr>
        <sz val="8"/>
        <rFont val="News Gothic Condensed"/>
      </rPr>
      <t xml:space="preserve">. </t>
    </r>
    <r>
      <rPr>
        <i/>
        <sz val="8"/>
        <rFont val="News Gothic Condensed"/>
      </rPr>
      <t>Table  1.1.5. National Health Expenditures by State and Local Government Source of Funds: Calendar Years 1960 to 2011  [Levels in millions of dollars]</t>
    </r>
    <r>
      <rPr>
        <sz val="8"/>
        <rFont val="News Gothic Condensed"/>
      </rPr>
      <t>. Durham: Duke University, August 24, 2013.</t>
    </r>
  </si>
  <si>
    <r>
      <rPr>
        <b/>
        <sz val="8"/>
        <rFont val="News Gothic Condensed"/>
      </rPr>
      <t>Duke University,</t>
    </r>
    <r>
      <rPr>
        <sz val="8"/>
        <rFont val="News Gothic Condensed"/>
      </rPr>
      <t xml:space="preserve"> </t>
    </r>
    <r>
      <rPr>
        <b/>
        <sz val="8"/>
        <rFont val="News Gothic Condensed"/>
      </rPr>
      <t>Center for Health Policy and Inequalities Research</t>
    </r>
    <r>
      <rPr>
        <sz val="8"/>
        <rFont val="News Gothic Condensed"/>
      </rPr>
      <t xml:space="preserve">. </t>
    </r>
    <r>
      <rPr>
        <i/>
        <sz val="8"/>
        <rFont val="News Gothic Condensed"/>
      </rPr>
      <t>Table  1.3.1.1 U.S. Federal Grants-in-Aid: 1929 to 2021  [Levels in millions of dollars]</t>
    </r>
    <r>
      <rPr>
        <sz val="8"/>
        <rFont val="News Gothic Condensed"/>
      </rPr>
      <t>. Durham: Duke University, August 30, 2013.</t>
    </r>
  </si>
  <si>
    <r>
      <rPr>
        <b/>
        <sz val="8"/>
        <rFont val="News Gothic Condensed"/>
      </rPr>
      <t>Rice, Dorothy and Barbara S. Cooper</t>
    </r>
    <r>
      <rPr>
        <sz val="8"/>
        <rFont val="News Gothic Condensed"/>
      </rPr>
      <t xml:space="preserve">.  National Health Expenditures, 1929-71. </t>
    </r>
    <r>
      <rPr>
        <i/>
        <sz val="8"/>
        <rFont val="News Gothic Condensed"/>
      </rPr>
      <t>Social Security Bulletin</t>
    </r>
    <r>
      <rPr>
        <sz val="8"/>
        <rFont val="News Gothic Condensed"/>
      </rPr>
      <t xml:space="preserve"> 35 (January 1972):3-18.</t>
    </r>
  </si>
  <si>
    <r>
      <rPr>
        <b/>
        <sz val="8"/>
        <rFont val="News Gothic Condensed"/>
      </rPr>
      <t>U.S. Congress, Congressional Budget Office</t>
    </r>
    <r>
      <rPr>
        <sz val="8"/>
        <rFont val="News Gothic Condensed"/>
      </rPr>
      <t xml:space="preserve">. Table 1. CBO’s Baseline Budget Projections in </t>
    </r>
    <r>
      <rPr>
        <i/>
        <sz val="8"/>
        <rFont val="News Gothic Condensed"/>
      </rPr>
      <t>Budget Projections—May 2013 for Updated Budget Projections: Fiscal Years 2013 to 2023</t>
    </r>
    <r>
      <rPr>
        <sz val="8"/>
        <rFont val="News Gothic Condensed"/>
      </rPr>
      <t>.  Available at: http://www.cbo.gov/sites/default/files/cbofiles/attachments/44195-BudgetProjections1.xlsx (accessed August 12, 2013).</t>
    </r>
  </si>
  <si>
    <r>
      <rPr>
        <b/>
        <sz val="8"/>
        <rFont val="News Gothic Condensed"/>
      </rPr>
      <t>U.S. Congress, Congressional Budget Office</t>
    </r>
    <r>
      <rPr>
        <sz val="8"/>
        <rFont val="News Gothic Condensed"/>
      </rPr>
      <t xml:space="preserve">. Table B-1 CBO’s Economic Projections, by Calendar Year </t>
    </r>
    <r>
      <rPr>
        <i/>
        <sz val="8"/>
        <rFont val="News Gothic Condensed"/>
      </rPr>
      <t>in The Budget and Economic Outlook: Fiscal Years 2013-2023,</t>
    </r>
    <r>
      <rPr>
        <sz val="8"/>
        <rFont val="News Gothic Condensed"/>
      </rPr>
      <t xml:space="preserve"> February 2013.  Available at: http://www.cbo.gov/sites/default/files/cbofiles/attachments/43907-BudgetOutlook.pdf (accessed August 10, 2013).</t>
    </r>
  </si>
  <si>
    <r>
      <rPr>
        <b/>
        <sz val="8"/>
        <rFont val="News Gothic Condensed"/>
      </rPr>
      <t>U.S. Department of Commerce, Bureau of Economic Analysis</t>
    </r>
    <r>
      <rPr>
        <sz val="8"/>
        <rFont val="News Gothic Condensed"/>
        <family val="2"/>
      </rPr>
      <t xml:space="preserve">.  </t>
    </r>
    <r>
      <rPr>
        <i/>
        <sz val="8"/>
        <rFont val="News Gothic Condensed"/>
      </rPr>
      <t>Table 1.1.5. Gross Domestic Product</t>
    </r>
    <r>
      <rPr>
        <sz val="8"/>
        <rFont val="News Gothic Condensed"/>
        <family val="2"/>
      </rPr>
      <t>. Last revised July 31, 2013.  Available at: http://www.bea.gov/iTable/iTable.cfm?ReqID=9&amp;step=1#reqid=9&amp;step=3&amp;isuri=1&amp;910=X&amp;911=1&amp;903=6&amp;904=2010&amp;905=2012&amp;906=A (accessed August 10, 2013).</t>
    </r>
  </si>
  <si>
    <r>
      <rPr>
        <b/>
        <sz val="8"/>
        <rFont val="News Gothic Condensed"/>
      </rPr>
      <t>U.S. Department of Commerce</t>
    </r>
    <r>
      <rPr>
        <sz val="8"/>
        <rFont val="News Gothic Condensed"/>
      </rPr>
      <t xml:space="preserve">, </t>
    </r>
    <r>
      <rPr>
        <b/>
        <sz val="8"/>
        <rFont val="News Gothic Condensed"/>
      </rPr>
      <t>Bureau of Economic Analysis</t>
    </r>
    <r>
      <rPr>
        <sz val="8"/>
        <rFont val="News Gothic Condensed"/>
      </rPr>
      <t xml:space="preserve">.  </t>
    </r>
    <r>
      <rPr>
        <i/>
        <sz val="8"/>
        <rFont val="News Gothic Condensed"/>
      </rPr>
      <t>Table 3.2. Federal Government Current Receipts and Expenditures</t>
    </r>
    <r>
      <rPr>
        <sz val="8"/>
        <rFont val="News Gothic Condensed"/>
      </rPr>
      <t>. Last revised July 31, 2013.  Available at: http://www.bea.gov/iTable/iTable.cfm?ReqID=9&amp;step=1#reqid=9&amp;step=3&amp;isuri=1&amp;910=X&amp;911=1&amp;903=6&amp;904=2010&amp;905=2012&amp;906=A (accessed August 11, 2013).</t>
    </r>
  </si>
  <si>
    <r>
      <rPr>
        <b/>
        <sz val="8"/>
        <rFont val="News Gothic Condensed"/>
      </rPr>
      <t>U.S. Department of Commerce</t>
    </r>
    <r>
      <rPr>
        <sz val="8"/>
        <rFont val="News Gothic Condensed"/>
      </rPr>
      <t xml:space="preserve">, </t>
    </r>
    <r>
      <rPr>
        <b/>
        <sz val="8"/>
        <rFont val="News Gothic Condensed"/>
      </rPr>
      <t>Bureau of Economic Analysis</t>
    </r>
    <r>
      <rPr>
        <sz val="8"/>
        <rFont val="News Gothic Condensed"/>
      </rPr>
      <t xml:space="preserve">.  </t>
    </r>
    <r>
      <rPr>
        <i/>
        <sz val="8"/>
        <rFont val="News Gothic Condensed"/>
      </rPr>
      <t>Table 3.3. State and Local Government Current Receipts and Expenditures</t>
    </r>
    <r>
      <rPr>
        <sz val="8"/>
        <rFont val="News Gothic Condensed"/>
      </rPr>
      <t>. Last revised July 31, 2013.  Available at: http://www.bea.gov/iTable/iTable.cfm?ReqID=9&amp;step=1#reqid=9&amp;step=3&amp;isuri=1&amp;910=X&amp;911=1&amp;903=6&amp;904=2010&amp;905=2012&amp;906=A (accessed August 11, 2013).</t>
    </r>
  </si>
  <si>
    <r>
      <rPr>
        <b/>
        <sz val="8"/>
        <rFont val="News Gothic Condensed"/>
      </rPr>
      <t>U.S. Department of Commerce</t>
    </r>
    <r>
      <rPr>
        <sz val="8"/>
        <rFont val="News Gothic Condensed"/>
      </rPr>
      <t xml:space="preserve">, </t>
    </r>
    <r>
      <rPr>
        <b/>
        <sz val="8"/>
        <rFont val="News Gothic Condensed"/>
      </rPr>
      <t>Bureau of Economic Analysis</t>
    </r>
    <r>
      <rPr>
        <sz val="8"/>
        <rFont val="News Gothic Condensed"/>
      </rPr>
      <t xml:space="preserve">.  </t>
    </r>
    <r>
      <rPr>
        <i/>
        <sz val="8"/>
        <rFont val="News Gothic Condensed"/>
      </rPr>
      <t>Table 3.18B. Relation of Federal Government Current Receipts and Expenditures in the National Income and Product Accounts to the Budget, Fiscal Years and Quarters</t>
    </r>
    <r>
      <rPr>
        <sz val="8"/>
        <rFont val="News Gothic Condensed"/>
      </rPr>
      <t>. Last revised October 7, 2010.  Available at: http://www.bea.gov/national/nipaweb/SelectTable.asp (accessed July 5, 2011).</t>
    </r>
  </si>
  <si>
    <t>Linked Tables: Table 1.1.3, Table 1.1.4, Table 1.1.5, Table 1.1.8, Table 1.3.1.1</t>
  </si>
  <si>
    <t>Table  1.3.1.1 U.S. Federal Grants-in-Aid: 1929 to 2021</t>
  </si>
  <si>
    <t>FEDERAL GRANTS-IN-AID</t>
  </si>
  <si>
    <t>Total federal grants-in-aid</t>
  </si>
  <si>
    <t>Health-related federal grants-in aid</t>
  </si>
  <si>
    <t>Fiscal year</t>
  </si>
  <si>
    <t>Calendar year</t>
  </si>
  <si>
    <t>As a percentage of</t>
  </si>
  <si>
    <t>All other</t>
  </si>
  <si>
    <t>Total govern-ment health spending</t>
  </si>
  <si>
    <t>Federal health spending</t>
  </si>
  <si>
    <t>State health spending</t>
  </si>
  <si>
    <t>State own health spending</t>
  </si>
  <si>
    <t>Figures for 1929-2012 are BEA estimates from the National Income and Products Accounts of federal grants-in-aid to state and local governments, as reported in [S5, line 17]. Figures for 2011-2010 are calculated by multiplying federal expenditures times the estimated share of federal spending attributable to federal grants-in-aid projected using 2005-2010 data, as reported in [P1].</t>
  </si>
  <si>
    <t>All figures for 1940-2018 are reported in [S4]; figures for 2013-2018 are estimates. Figures prior to 1977 are for a federal fiscal year that ran from July 1 of the preceding year through June 30 of the year shown. Note that the figure for 1976 includes $2,721 in funding during the transition quarter that occurred from July-September 1976. All subsequent figures are based on the current federal fiscal year running from October 1 of the preceding year through September 30 of the year shown.</t>
  </si>
  <si>
    <t>All figures for 1940-2014 are reported in [S3]; figures for 2013-2014 are estimates. Figures prior to 1977 are for a federal fiscal year that ran from July 1 of the preceding year through June 30 of the year shown. Note that the figure for 1976 includes $2,229 in Medicaid funding during the transition quarter that occurred from July-September 1976. All subsequent figures are based on the current federal fiscal year running from October 1 of the preceding year through September 30 of the year shown. The figures shown for 1961-1965 are for the Kerr-Mills program--a predecessor to the Medicaid program that became operational in 1966. Such spending is not counted as Medicaid spending in the National Health Expenditures Accounts, which is why the calendar year figures for Medicaid show no spending in those years.</t>
  </si>
  <si>
    <t xml:space="preserve">All figures calculated: (Total federal grants-in-aid) - Medicaid. Note that Medicaid spending has been included for the years 1961-1965 for reasons explained in note [K]. </t>
  </si>
  <si>
    <t>All figures calculated as the sum of components shown.</t>
  </si>
  <si>
    <t>All figures are CMS estimates reported in [S1].</t>
  </si>
  <si>
    <t>All figures for 1929-1939 are extrapolated backwards from 1940 assuming federal grants-in-aid related to health grew at the same pace as total state and local government health spending shown in an adjacent column. For 1940-1976, figures are calculated by adding half the figure shown for the current and subsequent year, e.g., CY1940 = .5 x FY1940 + .5 x FY1941. Note that when doing these calculations, transition quarter (TQ) funding of $2,721 was subtracting from the FY1976. In 1976, transition quarter funding is known, so the calendar year total was calculated as: .5 x FY1976 + TQ + .25 x FY1977.  For 1977-2018, all figures calculated  by adding one-quarter of the figure shown for the current year and three-quarters of the figure for the subsequent year. Figures for 2014-2021 are calculated as a least-squares trend line using the five years of data preceding the year whose value was estimated.</t>
  </si>
  <si>
    <t xml:space="preserve">All figures calculated using calendar year totals for federal grants-in-aid in the numerator and total government health spending (reported in [S2]) in the denominator. </t>
  </si>
  <si>
    <t>All figures calculated using calendar year totals for federal grants-in-aid in the numerator and federal government health spending (reported in [S2]) in the denominator. The federal health spending total includes health-related grants-in-aid to states.</t>
  </si>
  <si>
    <t xml:space="preserve">All figures calculated using calendar year totals for federal grants-in-aid in the numerator and state and local government health spending inclusive of federal health-related grants-in-aid (reported in [S2]) in the denominator. </t>
  </si>
  <si>
    <t xml:space="preserve">All figures calculated using calendar year totals for federal grants-in-aid in the numerator and state and local government own source health spending--which excludes federal health-related grants-in-aid--(reported in [S2]) in the denominator. </t>
  </si>
  <si>
    <t>Projected Federal Grants-in-Aid (all figures in millions of dollars)</t>
  </si>
  <si>
    <t>State &amp; local govern-ment expend-itures</t>
  </si>
  <si>
    <t>Federal grants-in-aid % of state and local govern-ment expendi-tures</t>
  </si>
  <si>
    <t>Predicted:</t>
  </si>
  <si>
    <t>All figures calculated from federal grants-in-aid figures shown in main table above. Figure shown in predicted row is calculated as a least squares trend line using the years 2003-2012.</t>
  </si>
  <si>
    <r>
      <rPr>
        <b/>
        <sz val="8"/>
        <rFont val="News Gothic Condensed"/>
      </rPr>
      <t>Duke University,</t>
    </r>
    <r>
      <rPr>
        <sz val="8"/>
        <rFont val="News Gothic Condensed"/>
      </rPr>
      <t xml:space="preserve"> </t>
    </r>
    <r>
      <rPr>
        <b/>
        <sz val="8"/>
        <rFont val="News Gothic Condensed"/>
      </rPr>
      <t>Center for Health Policy and Inequalities Research</t>
    </r>
    <r>
      <rPr>
        <sz val="8"/>
        <rFont val="News Gothic Condensed"/>
      </rPr>
      <t xml:space="preserve">. </t>
    </r>
    <r>
      <rPr>
        <i/>
        <sz val="8"/>
        <rFont val="News Gothic Condensed"/>
      </rPr>
      <t>Table  1.3.1.  U.S. GDP, Total Expenditures, Total Revenues and Health Expenditures by Level of Government: 1929 to 2021</t>
    </r>
    <r>
      <rPr>
        <sz val="8"/>
        <rFont val="News Gothic Condensed"/>
      </rPr>
      <t>. Durham: Duke University, August 30, 2013.</t>
    </r>
  </si>
  <si>
    <r>
      <rPr>
        <b/>
        <sz val="8"/>
        <rFont val="News Gothic Condensed"/>
      </rPr>
      <t>Executive Office of the President, Office of Management and Budget</t>
    </r>
    <r>
      <rPr>
        <sz val="8"/>
        <rFont val="News Gothic Condensed"/>
      </rPr>
      <t xml:space="preserve">. Table 12.3—Total Outlays for Grants to State and Local Governments by Function, Agency, and Program: 1940-2014 in </t>
    </r>
    <r>
      <rPr>
        <i/>
        <sz val="8"/>
        <rFont val="News Gothic Condensed"/>
      </rPr>
      <t>The Budget for Fiscal Year 2014, Historical Tables</t>
    </r>
    <r>
      <rPr>
        <sz val="8"/>
        <rFont val="News Gothic Condensed"/>
      </rPr>
      <t>. U.S. Government Printing Office, 2013. Available at: http://www.whitehouse.gov/sites/default/files/omb/budget/fy2014/assets/hist.pdf (accessed August 26, 2013).</t>
    </r>
  </si>
  <si>
    <r>
      <rPr>
        <b/>
        <sz val="8"/>
        <rFont val="News Gothic Condensed"/>
      </rPr>
      <t>Executive Office of the President, Office of Management and Budget</t>
    </r>
    <r>
      <rPr>
        <sz val="8"/>
        <rFont val="News Gothic Condensed"/>
      </rPr>
      <t>. Table 12.2—Total Outlays for Grants to State and Local Governments by Function and Fund Group: 1940-2018</t>
    </r>
    <r>
      <rPr>
        <i/>
        <sz val="8"/>
        <rFont val="News Gothic Condensed"/>
      </rPr>
      <t xml:space="preserve"> </t>
    </r>
    <r>
      <rPr>
        <sz val="8"/>
        <rFont val="News Gothic Condensed"/>
      </rPr>
      <t xml:space="preserve">in </t>
    </r>
    <r>
      <rPr>
        <i/>
        <sz val="8"/>
        <rFont val="News Gothic Condensed"/>
      </rPr>
      <t>The Budget for Fiscal Year 2014, Historical Tables</t>
    </r>
    <r>
      <rPr>
        <sz val="8"/>
        <rFont val="News Gothic Condensed"/>
      </rPr>
      <t>. U.S. Government Printing Office, 2013. Available at: http://www.whitehouse.gov/sites/default/files/omb/budget/fy2014/assets/hist.pdf (accessed August 26, 2013).</t>
    </r>
  </si>
  <si>
    <r>
      <rPr>
        <b/>
        <sz val="8"/>
        <rFont val="News Gothic Condensed"/>
      </rPr>
      <t>U.S. Department of Commerce</t>
    </r>
    <r>
      <rPr>
        <sz val="8"/>
        <rFont val="News Gothic Condensed"/>
      </rPr>
      <t xml:space="preserve">, </t>
    </r>
    <r>
      <rPr>
        <b/>
        <sz val="8"/>
        <rFont val="News Gothic Condensed"/>
      </rPr>
      <t>Bureau of Economic Analysis</t>
    </r>
    <r>
      <rPr>
        <sz val="8"/>
        <rFont val="News Gothic Condensed"/>
      </rPr>
      <t xml:space="preserve">.  </t>
    </r>
    <r>
      <rPr>
        <i/>
        <sz val="8"/>
        <rFont val="News Gothic Condensed"/>
      </rPr>
      <t>Table 3.3. State and Local Government Current Receipts and Expenditures</t>
    </r>
    <r>
      <rPr>
        <sz val="8"/>
        <rFont val="News Gothic Condensed"/>
      </rPr>
      <t>. Last revised July 31, 2013.  Available at: http://www.bea.gov/iTable/iTable.cfm?ReqID=9&amp;step=1#reqid=9&amp;step=3&amp;isuri=1&amp;903=73 (accessed August 11, 2013).</t>
    </r>
  </si>
  <si>
    <t>Linked Tables: Table 1.3.1, Table 1.1.8</t>
  </si>
  <si>
    <t>Table  1.3.3.  U.S. Personal Consumption Expenditures, Personal Income, Total Wages and Salaries, Private Business Wages and Salaries and Profits: 1929 to 2021</t>
  </si>
  <si>
    <t>PERSONAL CONSUMPTION EXPENDITURES</t>
  </si>
  <si>
    <t>PERSONAL INCOME</t>
  </si>
  <si>
    <t>TOTAL WAGES AND SALARIES</t>
  </si>
  <si>
    <t xml:space="preserve">CORPORATE PROFITS </t>
  </si>
  <si>
    <t>Health-related</t>
  </si>
  <si>
    <t xml:space="preserve">Total </t>
  </si>
  <si>
    <t>Additions to personal income</t>
  </si>
  <si>
    <t>Exclusions from personal income</t>
  </si>
  <si>
    <t>Adjusted personal income</t>
  </si>
  <si>
    <t>Dis-posable personal income</t>
  </si>
  <si>
    <t>Adjusted dis-posable personal income</t>
  </si>
  <si>
    <t>With inventory valuation &amp; capital consumption adjustments (billions)</t>
  </si>
  <si>
    <t>Corporate profits after taxes (millions)</t>
  </si>
  <si>
    <t>Net health insurance</t>
  </si>
  <si>
    <t>Medicare Part A contri-butions</t>
  </si>
  <si>
    <t>Medicare premiums (Parts B &amp; D)</t>
  </si>
  <si>
    <t>Medicare payments</t>
  </si>
  <si>
    <t>Medicaid payments</t>
  </si>
  <si>
    <t>Private business</t>
  </si>
  <si>
    <t>[M]</t>
  </si>
  <si>
    <t>[N]</t>
  </si>
  <si>
    <t>[O]</t>
  </si>
  <si>
    <t>[P]</t>
  </si>
  <si>
    <t>Figures for 1929-2012 are BEA estimates from the National Income and Products Accounts, as reported in [S10]. Figures for 2013-2021 calculated from GDP figures estimated in [S2] assuming annual growth rates for PCE and GDP are identical.</t>
  </si>
  <si>
    <t>All figures calculated by summing components shown.</t>
  </si>
  <si>
    <t>Figures for 1929-2012 are BEA estimates from the National Income and Products Accounts, as reported in [S10]. Figures for 2013-2021 calculated using annual growth rates for private personal health care expenditures, as reported in [P1].</t>
  </si>
  <si>
    <t xml:space="preserve">Figures for 1929-2012 are BEA estimates from the National Income and Products Accounts, as reported in [S10]. Figures for 2013-2021 calculated using annual growth rates for private health insurance expenditures, as reported in [P1]. </t>
  </si>
  <si>
    <t>All figures for 1929-2012 reported in [S7]. All figures for 2013-2021 are calculated from annual growth rates for personal income projected by CBO, as reported in Parameters [P2]. Personal income includes income from all sources, including government transfers (Social Security, Medicare, Medicaid and other cash/in-kind transfer programs) minus contributions for government social insurance.</t>
  </si>
  <si>
    <t>Figures shown include employee and self-employed contributions (payroll taxes) for Medicare Part A (the employer share is excluded). All figures for 1987-2011 reported in [S3]. All figures for 1966-1986 are extrapolated backwards from 1987 using annual growth in estimated Part A payments derived from BEA-reported data, as reported in Parameters [P3]. All figures for 2012-2021 are imputed from growth in wages in salaries, as reported in [P4].</t>
  </si>
  <si>
    <t>Figures shown include supplemental medical insurance payments. All figures for 1987-2011 reported in [S3]. All figures for 1966-1986 are extrapolated backwards from 1987 using annual growth in estimated household premiums for Medicare Parts B and D, as reported in Parameters [P3]. All figures for 2012-2021 are calculated by subtracting estimated Part A premiums from estimated household contributions for Medicare, as reported in [P4].</t>
  </si>
  <si>
    <t xml:space="preserve">All figures  for 1929-2012 reported in [S7]. All figures for 2013-2021 are calculated from annual growth rates for total Medicare spending projected by CMS, as reported in [S1] (projected spending in [S1] includes Medicare administrative costs, whereas BEA figures include only Medicare benefit payments for households). </t>
  </si>
  <si>
    <t xml:space="preserve">All figures  for 1929-2012 reported in [S7]. All figures for 2013-2021 are calculated from annual growth rates for total Medicaid spending projected by CMS, as reported in [S1] (projected spending in [S1] includes Medicaid administrative costs, whereas BEA figures include only Medicaid benefit payments for households). </t>
  </si>
  <si>
    <t>All figures calculated: (Total personal income) + (Medicare Part A contributions) + (Medicare premiums Parts B &amp; D) - (Medicare payments) - (Medicaid payments). Personal income is defined to exclude contributions for government social insurance but includes government social benefits to individuals, including Medicare and Medicaid. Since Medicare contributions are included in the CMS estimates of household health spending, they are added back into total personal income. Likewise, since Medicare and Medicaid benefit payments are excluded from CMS estimates of household health spending, these are subtracted from personal income. The adjusted figure provides a more accurate estimate of the actual resources available to a household from which to finance household health spending.</t>
  </si>
  <si>
    <t>All figures  for 1929-2012 reported in [S7]. All figures for 2013-2021 are calculated from annual growth rates for personal income projected by CBO, as reported in Parameters [P2]. Disposable personal income equals personal income minus personal current taxes.</t>
  </si>
  <si>
    <t>All figures calculated: (Adjusted personal income) - [(Total personal income) - (Disposable personal income)]. This allows a calculation of the household burden of health spending relative to after-tax income.</t>
  </si>
  <si>
    <t>Figures for 1929-1997 are BEA estimates of total wages and salaries for all workers from the National Income and Products Accounts, as reported in [S8]; figures for 1998-2012 are BEA estimates reported in [S9]. Note that figures for 1949-2009 reported by CBO in [S5] are identical to BEA estimates reported in [S8] and [S9] for those years. Figures for 2013-2021 are calculated using growth rates derived from CBO projections, as reported in Parameters [P5].</t>
  </si>
  <si>
    <t>Figures for 1929-1997 are BEA estimates of private business wages and salaries from the National Income and Products Accounts, as reported in [S8]; figures for 1998-2012 are BEA estimates reported in [S9]. Figures for 2013-2021 are calculated using the year-to-year growth rate estimated from the figures shown for total wages and salaries.</t>
  </si>
  <si>
    <t xml:space="preserve">Figures for 1929-2012 are BEA estimates of corporate profits from the National Income and Products Accounts, as reported in [S12] (covering years 1929-1947); [S13] (1948-1987); [S14] (1987-2000); and [S15] (1998-2012). Figures for 2013-2021 are calculated using the year-to-year growth rate estimated from the CBO projections shown for total profits. </t>
  </si>
  <si>
    <t xml:space="preserve">Figures for 1929-2012 are BEA estimates of corporate profits after taxes from the National Income and Products Accounts, as reported in [S16] (covering years 1929-1947); [S17] (1948-1987); [S18] (1987-2000); and [S19] (1998-2012). Figures for 2013-2021 are calculated using the year-to-year growth rate estimated from the CBO projections shown for total profits. </t>
  </si>
  <si>
    <t xml:space="preserve">Parameters: </t>
  </si>
  <si>
    <t>Growth Rates for Projected Private PHCE and Insurance Spending, 2013-2021</t>
  </si>
  <si>
    <t>CMS projections of private spending (millions of dollars)</t>
  </si>
  <si>
    <t>Annual Growth Rate</t>
  </si>
  <si>
    <t>Private PHCE</t>
  </si>
  <si>
    <t>Insurance</t>
  </si>
  <si>
    <t>Figures for private personal health care expenditures (PHCE) calculated from figures reported in [S1]: (Private Total NHE) - (Private Research + Private Structures + Private Equipment).</t>
  </si>
  <si>
    <t>Figures for private health insurance expenditures reported in [S1].</t>
  </si>
  <si>
    <t>All figures represent the percentage increase in spending from the previous year, calculated from figures shown in adjacent columns.</t>
  </si>
  <si>
    <t>Growth Rates for Projected Personal Income</t>
  </si>
  <si>
    <t>Personal Income (billions of dollars)</t>
  </si>
  <si>
    <t>Disposable personal income (billions of dollars)</t>
  </si>
  <si>
    <t>Estimated</t>
  </si>
  <si>
    <t xml:space="preserve">All figures reported in [S7]. </t>
  </si>
  <si>
    <t>All figures reported in [S6].</t>
  </si>
  <si>
    <t>Since BEA estimates are based on the most recent revision of GDP using a new methodology reported in July 2013, these are presumed to be more accurate than CBO figures. Figures for 2013-2021 calculated based on year-to-year growth calculated from the CBO figures.</t>
  </si>
  <si>
    <t>All figures reported in [S7]. Disposable personal income equals personal income minus personal current taxes.</t>
  </si>
  <si>
    <t>Figures for 2006-2012 are actual totals reported by BEA. Figures for 2013-2021 calculated based on year-to-year growth in total personal income calculated from the CBO figures (CBO does not make projections of disposable personal income).</t>
  </si>
  <si>
    <t>Growth Rates for Medicare Contributions, 1966-1987</t>
  </si>
  <si>
    <t>Employee contributions</t>
  </si>
  <si>
    <t>Self-employed contri-butions</t>
  </si>
  <si>
    <t>Preliminary Part A total</t>
  </si>
  <si>
    <t>Household contribu-tions Part A (CMS 1/13)</t>
  </si>
  <si>
    <t>Premiums Part B &amp; D (BEA 7/13)</t>
  </si>
  <si>
    <t>Household premiums Part B &amp; D (CMS 7/13)</t>
  </si>
  <si>
    <t>Estimated household premiums Parts B &amp; D</t>
  </si>
  <si>
    <t>OASDI</t>
  </si>
  <si>
    <t>Part A</t>
  </si>
  <si>
    <t>[P3f]</t>
  </si>
  <si>
    <t>[P3g]</t>
  </si>
  <si>
    <t>All figures reported in [S11]. Employer contributions for Old Age, Survivors, and Disability Insurance (OASDI) and Medicare Part A (hospital insurance) are excluded.</t>
  </si>
  <si>
    <t>All figures reported in [S11]. No separate breakout of contributions to OASDI and Medicare Part A is provided.</t>
  </si>
  <si>
    <t>All figures calculated: Part A + (Self-employed contributions) x (Part A)/(OASDI + Part A)</t>
  </si>
  <si>
    <t>All figures reported in [S3]. These figures account for both employee and self-employed contributions to Part A.</t>
  </si>
  <si>
    <t xml:space="preserve">Employee and self-employed contributions for supplementary medical insurance are reported in [S11]. </t>
  </si>
  <si>
    <t xml:space="preserve">Figures shown are household premium payments for Medicare Part B and Part D, as reported in [S3]; these figures exclude Part B premiums paid by Medicaid for those dual eligible for Medicare, which is why the CMS figures are consistently lower than the amounts reported by BEA. </t>
  </si>
  <si>
    <t>All figures for 1966-1986 are extrapolated backwards from 1987 using annual growth in estimated Part A payments derived from BEA estimates of premiums.</t>
  </si>
  <si>
    <t>Growth Rates for Medicare Contributions, 2011-2021</t>
  </si>
  <si>
    <t>Total wages and salaries</t>
  </si>
  <si>
    <t>Part A contri-butions per $1000 W&amp;S</t>
  </si>
  <si>
    <t>Estimated Medicare Part A</t>
  </si>
  <si>
    <t>Medicare payroll taxes and premiums</t>
  </si>
  <si>
    <t>Net household contri-butions Parts B &amp; D</t>
  </si>
  <si>
    <t>CMS (6/12)</t>
  </si>
  <si>
    <t>CMS (1/13)</t>
  </si>
  <si>
    <t xml:space="preserve">All figures are CMS estimates of household contributions to Part A reported in [S3]. </t>
  </si>
  <si>
    <t>All figures reported in main table.</t>
  </si>
  <si>
    <t xml:space="preserve">Figures for 2006-2011 calculated: 1000 x (Medicare Part A contributions)/(Total wages and salaries). Figures for 2012-2021 are calculated using a least-squares linear projection based on the preceding five years. </t>
  </si>
  <si>
    <t>Figures for 2006-2011 are CMS estimates reported in [S3]. Figures for 2012-2021 calculated: (Total wages and salaries) x (Part A contributions per $1,000 wages and salaries) /1000.</t>
  </si>
  <si>
    <t>All figures are CMS estimates of household contributions to Medicare Part B and Part D reported in [S4]. These figures exclude supplemental medical insurance premium payments made by Medicaid for recipients dual-eligible for Medicare.</t>
  </si>
  <si>
    <t>All figures calculated: (Household contributions to Medicare Part A) + (Household contributions to Medicare Parts B &amp; D), as reported in [S3]. These figures exclude supplemental medical insurance premium payments made by Medicaid for recipients dual-eligible for Medicare.</t>
  </si>
  <si>
    <t>Figures for 2013-2021 calculated based on year-to-year growth in Medicare payroll taxes and premiums calculated from the CMS (6/12) figures.</t>
  </si>
  <si>
    <t>All figures calculated: (Estimated Medicare payroll taxes and premiums) minus (Estimated Medicare Part A).</t>
  </si>
  <si>
    <t>Growth Rates for Projected Wages and Salaries and Profits, 2013-2021</t>
  </si>
  <si>
    <t>CBO projections of wages and salaries</t>
  </si>
  <si>
    <t>Annual Growth Rate from CBO data</t>
  </si>
  <si>
    <t>CBO projections of profits with IVA &amp; CCAdj</t>
  </si>
  <si>
    <t>CBO (2/12)</t>
  </si>
  <si>
    <t>[P5c]</t>
  </si>
  <si>
    <t>[P5d]</t>
  </si>
  <si>
    <t>Calendar year figures reported in [S6].</t>
  </si>
  <si>
    <t>Figures reported in [S9].</t>
  </si>
  <si>
    <t>Calendar year figures on corporate profits with inventory valuation adjustment and capital accumulation adjustment, as reported in [S6].</t>
  </si>
  <si>
    <t>Figures reported in [S15]. Note that these reflect important modifications to how GDP is calculated released in July 2013. Historically, CBO and BEA estimates of corporate profits have been very similar in magnitude.</t>
  </si>
  <si>
    <r>
      <rPr>
        <b/>
        <sz val="8"/>
        <rFont val="News Gothic Condensed"/>
      </rPr>
      <t>Duke University,</t>
    </r>
    <r>
      <rPr>
        <sz val="8"/>
        <rFont val="News Gothic Condensed"/>
      </rPr>
      <t xml:space="preserve"> </t>
    </r>
    <r>
      <rPr>
        <b/>
        <sz val="8"/>
        <rFont val="News Gothic Condensed"/>
      </rPr>
      <t>Center for Health Policy and Inequalities Research</t>
    </r>
    <r>
      <rPr>
        <sz val="8"/>
        <rFont val="News Gothic Condensed"/>
      </rPr>
      <t xml:space="preserve">. </t>
    </r>
    <r>
      <rPr>
        <i/>
        <sz val="8"/>
        <rFont val="News Gothic Condensed"/>
      </rPr>
      <t>Table  1.3.1.  U.S. GDP, Total Expenditures, Total Revenues and Health Expenditures by Level of Government: 1929 to 2021</t>
    </r>
    <r>
      <rPr>
        <sz val="8"/>
        <rFont val="News Gothic Condensed"/>
      </rPr>
      <t>. Durham: Duke University, August 25, 2013.</t>
    </r>
  </si>
  <si>
    <r>
      <rPr>
        <b/>
        <sz val="8"/>
        <rFont val="News Gothic Condensed"/>
      </rPr>
      <t>Duke University,</t>
    </r>
    <r>
      <rPr>
        <sz val="8"/>
        <rFont val="News Gothic Condensed"/>
      </rPr>
      <t xml:space="preserve"> </t>
    </r>
    <r>
      <rPr>
        <b/>
        <sz val="8"/>
        <rFont val="News Gothic Condensed"/>
      </rPr>
      <t>Center for Health Policy and Inequalities Research</t>
    </r>
    <r>
      <rPr>
        <sz val="8"/>
        <rFont val="News Gothic Condensed"/>
      </rPr>
      <t xml:space="preserve">. </t>
    </r>
    <r>
      <rPr>
        <i/>
        <sz val="8"/>
        <rFont val="News Gothic Condensed"/>
      </rPr>
      <t>Table  1.3.4.  U.S. National Health Expenditures, by Private Sponsor: 1987 to 2011 [Levels in billions of dollars, except as noted]</t>
    </r>
    <r>
      <rPr>
        <sz val="8"/>
        <rFont val="News Gothic Condensed"/>
      </rPr>
      <t>. Durham: Duke University, August 27, 2013.</t>
    </r>
  </si>
  <si>
    <r>
      <rPr>
        <b/>
        <sz val="8"/>
        <rFont val="News Gothic Condensed"/>
      </rPr>
      <t>Duke University,</t>
    </r>
    <r>
      <rPr>
        <sz val="8"/>
        <rFont val="News Gothic Condensed"/>
      </rPr>
      <t xml:space="preserve"> </t>
    </r>
    <r>
      <rPr>
        <b/>
        <sz val="8"/>
        <rFont val="News Gothic Condensed"/>
      </rPr>
      <t>Center for Health Policy and Inequalities Research</t>
    </r>
    <r>
      <rPr>
        <sz val="8"/>
        <rFont val="News Gothic Condensed"/>
      </rPr>
      <t xml:space="preserve">. </t>
    </r>
    <r>
      <rPr>
        <i/>
        <sz val="8"/>
        <rFont val="News Gothic Condensed"/>
      </rPr>
      <t>Table  1.3.6.  U.S. National Health Expenditures, by Private Sponsor: 2006 to 2021 [Levels in billions of dollars, except as noted]</t>
    </r>
    <r>
      <rPr>
        <sz val="8"/>
        <rFont val="News Gothic Condensed"/>
      </rPr>
      <t>. Durham: Duke University, August 27, 2013.</t>
    </r>
  </si>
  <si>
    <r>
      <rPr>
        <b/>
        <sz val="8"/>
        <rFont val="News Gothic Condensed"/>
      </rPr>
      <t>U.S. Congress, Congressional Budget Office.</t>
    </r>
    <r>
      <rPr>
        <sz val="8"/>
        <rFont val="News Gothic Condensed"/>
      </rPr>
      <t xml:space="preserve"> </t>
    </r>
    <r>
      <rPr>
        <i/>
        <sz val="8"/>
        <rFont val="News Gothic Condensed"/>
      </rPr>
      <t>Backup Data: CBO's Year-by-Year Forecast and Projections for Calendar Years 2009 to 2020 (and Actual Data for Calendar Years 1950 to 2008) for The Budget and Economic Outlook: January 2010</t>
    </r>
    <r>
      <rPr>
        <sz val="8"/>
        <rFont val="News Gothic Condensed"/>
      </rPr>
      <t xml:space="preserve"> (last modified January 2010).  Available at: http://www.cbo.gov/ftpdocs/108xx/doc10871/Year-by-YearForecast.xls (accessed February 24, 2010).</t>
    </r>
  </si>
  <si>
    <r>
      <rPr>
        <b/>
        <sz val="8"/>
        <rFont val="News Gothic Condensed"/>
      </rPr>
      <t>U.S. Department of Commerce, Bureau of Economic Analysis</t>
    </r>
    <r>
      <rPr>
        <sz val="8"/>
        <rFont val="News Gothic Condensed"/>
      </rPr>
      <t xml:space="preserve">.  </t>
    </r>
    <r>
      <rPr>
        <i/>
        <sz val="8"/>
        <rFont val="News Gothic Condensed"/>
      </rPr>
      <t>Table 2.1. Personal Income and Its Disposition</t>
    </r>
    <r>
      <rPr>
        <sz val="8"/>
        <rFont val="News Gothic Condensed"/>
      </rPr>
      <t>. Last revised July 31, 2013.  Available at: http://www.bea.gov/iTable/iTable.cfm?ReqID=9&amp;step=1#reqid=9&amp;step=3&amp;isuri=1&amp;903=13 (accessed August 27, 2013).</t>
    </r>
  </si>
  <si>
    <r>
      <t xml:space="preserve">U.S. Department of Commerce, Bureau of Economic Analysis. </t>
    </r>
    <r>
      <rPr>
        <sz val="8"/>
        <rFont val="News Gothic Condensed"/>
      </rPr>
      <t xml:space="preserve"> </t>
    </r>
    <r>
      <rPr>
        <i/>
        <sz val="8"/>
        <rFont val="News Gothic Condensed"/>
      </rPr>
      <t>Table 2.2A. Wage and Salary Disbursements by Industry</t>
    </r>
    <r>
      <rPr>
        <sz val="8"/>
        <rFont val="News Gothic Condensed"/>
      </rPr>
      <t>. Last revised August 7, 2013.  Available at: http://www.bea.gov/iTable/iTable.cfm?ReqID=9&amp;step=1#reqid=9&amp;step=3&amp;isuri=1&amp;910=X&amp;911=1&amp;903=6&amp;904=2010&amp;905=2012&amp;906=A (accessed August 31, 2013).</t>
    </r>
  </si>
  <si>
    <r>
      <rPr>
        <b/>
        <sz val="8"/>
        <rFont val="News Gothic Condensed"/>
      </rPr>
      <t>U.S. Department of Commerce, Bureau of Economic Analysis</t>
    </r>
    <r>
      <rPr>
        <sz val="8"/>
        <rFont val="News Gothic Condensed"/>
      </rPr>
      <t xml:space="preserve">.  </t>
    </r>
    <r>
      <rPr>
        <i/>
        <sz val="8"/>
        <rFont val="News Gothic Condensed"/>
      </rPr>
      <t>Table 2.2B. Wage and Salary Disbursements by Industry</t>
    </r>
    <r>
      <rPr>
        <sz val="8"/>
        <rFont val="News Gothic Condensed"/>
      </rPr>
      <t>. Last revised July 31, 2013.  Available at: http://www.bea.gov/iTable/iTable.cfm?ReqID=9&amp;step=1#reqid=9&amp;step=3&amp;isuri=1&amp;910=X&amp;911=1&amp;903=6&amp;904=2010&amp;905=2012&amp;906=A (accessed August 25, 2013).</t>
    </r>
  </si>
  <si>
    <r>
      <rPr>
        <b/>
        <sz val="8"/>
        <rFont val="News Gothic Condensed"/>
      </rPr>
      <t>U.S. Department of Commerce, Bureau of Economic Analysis</t>
    </r>
    <r>
      <rPr>
        <sz val="8"/>
        <rFont val="News Gothic Condensed"/>
      </rPr>
      <t xml:space="preserve">.  </t>
    </r>
    <r>
      <rPr>
        <i/>
        <sz val="8"/>
        <rFont val="News Gothic Condensed"/>
      </rPr>
      <t>Table 2.5.5. Personal Consumption Expenditures by Function</t>
    </r>
    <r>
      <rPr>
        <sz val="8"/>
        <rFont val="News Gothic Condensed"/>
      </rPr>
      <t>. Last revised August 7, 2013.  Available at: http://www.bea.gov/iTable/iTable.cfm?ReqID=9&amp;step=1#reqid=9&amp;step=3&amp;isuri=1&amp;903=73 (accessed August 25, 2013).</t>
    </r>
  </si>
  <si>
    <r>
      <rPr>
        <b/>
        <sz val="8"/>
        <rFont val="News Gothic Condensed"/>
      </rPr>
      <t>U.S. Department of Commerce, Bureau of Economic Analysis</t>
    </r>
    <r>
      <rPr>
        <sz val="8"/>
        <rFont val="News Gothic Condensed"/>
      </rPr>
      <t xml:space="preserve">.  </t>
    </r>
    <r>
      <rPr>
        <i/>
        <sz val="8"/>
        <rFont val="News Gothic Condensed"/>
      </rPr>
      <t>Table 3.6. Contributions for Government Social Insurance</t>
    </r>
    <r>
      <rPr>
        <sz val="8"/>
        <rFont val="News Gothic Condensed"/>
      </rPr>
      <t>. Last revised August 7, 2013.  Available at: http://www.bea.gov/iTable/iTable.cfm?ReqID=9&amp;step=1#reqid=9&amp;step=3&amp;isuri=1&amp;903=73 (accessed August 28, 2013).</t>
    </r>
  </si>
  <si>
    <r>
      <rPr>
        <b/>
        <sz val="8"/>
        <rFont val="News Gothic Condensed"/>
      </rPr>
      <t>U.S. Department of Commerce, Bureau of Economic Analysis</t>
    </r>
    <r>
      <rPr>
        <sz val="8"/>
        <rFont val="News Gothic Condensed"/>
      </rPr>
      <t xml:space="preserve">.  </t>
    </r>
    <r>
      <rPr>
        <i/>
        <sz val="8"/>
        <rFont val="News Gothic Condensed"/>
      </rPr>
      <t>Table 6.16A. Corporate Profits by Industry</t>
    </r>
    <r>
      <rPr>
        <sz val="8"/>
        <rFont val="News Gothic Condensed"/>
      </rPr>
      <t>. Last revised August 7, 2013.  Available at: http://www.bea.gov/iTable/iTable.cfm?ReqID=9&amp;step=1#reqid=9&amp;step=3&amp;isuri=1&amp;903=73 (accessed August 25, 2013).</t>
    </r>
  </si>
  <si>
    <r>
      <rPr>
        <b/>
        <sz val="8"/>
        <rFont val="News Gothic Condensed"/>
      </rPr>
      <t>U.S. Department of Commerce, Bureau of Economic Analysis</t>
    </r>
    <r>
      <rPr>
        <sz val="8"/>
        <rFont val="News Gothic Condensed"/>
      </rPr>
      <t xml:space="preserve">.  </t>
    </r>
    <r>
      <rPr>
        <i/>
        <sz val="8"/>
        <rFont val="News Gothic Condensed"/>
      </rPr>
      <t>Table 6.16B. Corporate Profits by Industry</t>
    </r>
    <r>
      <rPr>
        <sz val="8"/>
        <rFont val="News Gothic Condensed"/>
      </rPr>
      <t>. Last revised August 7, 2013.  Available at: http://www.bea.gov/iTable/iTable.cfm?ReqID=9&amp;step=1#reqid=9&amp;step=3&amp;isuri=1&amp;903=73 (accessed August 25, 2013).</t>
    </r>
  </si>
  <si>
    <r>
      <rPr>
        <b/>
        <sz val="8"/>
        <rFont val="News Gothic Condensed"/>
      </rPr>
      <t>U.S. Department of Commerce, Bureau of Economic Analysis</t>
    </r>
    <r>
      <rPr>
        <sz val="8"/>
        <rFont val="News Gothic Condensed"/>
      </rPr>
      <t xml:space="preserve">.  </t>
    </r>
    <r>
      <rPr>
        <i/>
        <sz val="8"/>
        <rFont val="News Gothic Condensed"/>
      </rPr>
      <t>Table 6.16C. Corporate Profits by Industry</t>
    </r>
    <r>
      <rPr>
        <sz val="8"/>
        <rFont val="News Gothic Condensed"/>
      </rPr>
      <t>. Last revised August 7, 2013.  Available at: http://www.bea.gov/iTable/iTable.cfm?ReqID=9&amp;step=1#reqid=9&amp;step=3&amp;isuri=1&amp;903=73 (accessed August 25, 2013).</t>
    </r>
  </si>
  <si>
    <t>[S15]</t>
  </si>
  <si>
    <r>
      <rPr>
        <b/>
        <sz val="8"/>
        <rFont val="News Gothic Condensed"/>
      </rPr>
      <t>U.S. Department of Commerce, Bureau of Economic Analysis</t>
    </r>
    <r>
      <rPr>
        <sz val="8"/>
        <rFont val="News Gothic Condensed"/>
      </rPr>
      <t xml:space="preserve">.  </t>
    </r>
    <r>
      <rPr>
        <i/>
        <sz val="8"/>
        <rFont val="News Gothic Condensed"/>
      </rPr>
      <t>Table 6.16D. Corporate Profits by Industry</t>
    </r>
    <r>
      <rPr>
        <sz val="8"/>
        <rFont val="News Gothic Condensed"/>
      </rPr>
      <t>. Last revised July 31, 2013.  Available at: http://www.bea.gov/iTable/iTable.cfm?ReqID=9&amp;step=1#reqid=9&amp;step=3&amp;isuri=1&amp;903=73 (accessed August 25, 2013).</t>
    </r>
  </si>
  <si>
    <t>[S16]</t>
  </si>
  <si>
    <r>
      <rPr>
        <b/>
        <sz val="8"/>
        <rFont val="News Gothic Condensed"/>
      </rPr>
      <t>U.S. Department of Commerce, Bureau of Economic Analysis</t>
    </r>
    <r>
      <rPr>
        <sz val="8"/>
        <rFont val="News Gothic Condensed"/>
      </rPr>
      <t xml:space="preserve">.  </t>
    </r>
    <r>
      <rPr>
        <i/>
        <sz val="8"/>
        <rFont val="News Gothic Condensed"/>
      </rPr>
      <t>Table 6.19A. Corporate Profits by Industry</t>
    </r>
    <r>
      <rPr>
        <sz val="8"/>
        <rFont val="News Gothic Condensed"/>
      </rPr>
      <t>. Last revised August 7, 2013.  Available at: http://www.bea.gov/iTable/iTable.cfm?ReqID=9&amp;step=1#reqid=9&amp;step=3&amp;isuri=1&amp;903=73 (accessed August 25, 2013).</t>
    </r>
  </si>
  <si>
    <t>[S17]</t>
  </si>
  <si>
    <r>
      <rPr>
        <b/>
        <sz val="8"/>
        <rFont val="News Gothic Condensed"/>
      </rPr>
      <t>U.S. Department of Commerce, Bureau of Economic Analysis</t>
    </r>
    <r>
      <rPr>
        <sz val="8"/>
        <rFont val="News Gothic Condensed"/>
      </rPr>
      <t xml:space="preserve">.  </t>
    </r>
    <r>
      <rPr>
        <i/>
        <sz val="8"/>
        <rFont val="News Gothic Condensed"/>
      </rPr>
      <t>Table 6.19B. Corporate Profits by Industry</t>
    </r>
    <r>
      <rPr>
        <sz val="8"/>
        <rFont val="News Gothic Condensed"/>
      </rPr>
      <t>. Last revised August 7, 2013.  Available at: http://www.bea.gov/iTable/iTable.cfm?ReqID=9&amp;step=1#reqid=9&amp;step=3&amp;isuri=1&amp;903=73 (accessed August 25, 2013).</t>
    </r>
  </si>
  <si>
    <t>[S18]</t>
  </si>
  <si>
    <r>
      <rPr>
        <b/>
        <sz val="8"/>
        <rFont val="News Gothic Condensed"/>
      </rPr>
      <t>U.S. Department of Commerce, Bureau of Economic Analysis</t>
    </r>
    <r>
      <rPr>
        <sz val="8"/>
        <rFont val="News Gothic Condensed"/>
      </rPr>
      <t xml:space="preserve">.  </t>
    </r>
    <r>
      <rPr>
        <i/>
        <sz val="8"/>
        <rFont val="News Gothic Condensed"/>
      </rPr>
      <t>Table 6.19C. Corporate Profits by Industry</t>
    </r>
    <r>
      <rPr>
        <sz val="8"/>
        <rFont val="News Gothic Condensed"/>
      </rPr>
      <t>. Last revised August 7, 2013.  Available at: http://www.bea.gov/iTable/iTable.cfm?ReqID=9&amp;step=1#reqid=9&amp;step=3&amp;isuri=1&amp;903=73 (accessed August 25, 2013).</t>
    </r>
  </si>
  <si>
    <t>[S19]</t>
  </si>
  <si>
    <r>
      <rPr>
        <b/>
        <sz val="8"/>
        <rFont val="News Gothic Condensed"/>
      </rPr>
      <t>U.S. Department of Commerce, Bureau of Economic Analysis</t>
    </r>
    <r>
      <rPr>
        <sz val="8"/>
        <rFont val="News Gothic Condensed"/>
      </rPr>
      <t xml:space="preserve">.  </t>
    </r>
    <r>
      <rPr>
        <i/>
        <sz val="8"/>
        <rFont val="News Gothic Condensed"/>
      </rPr>
      <t>Table 6.19D. Corporate Profits by Industry</t>
    </r>
    <r>
      <rPr>
        <sz val="8"/>
        <rFont val="News Gothic Condensed"/>
      </rPr>
      <t>. Last revised August 7, 2013.  Available at: http://www.bea.gov/iTable/iTable.cfm?ReqID=9&amp;step=1#reqid=9&amp;step=3&amp;isuri=1&amp;903=73 (accessed August 25, 2013).</t>
    </r>
  </si>
  <si>
    <t>Linked Tables: Table 1.1.8, Table 1.3.1, Table 1.3.4, Table 1.3.6</t>
  </si>
  <si>
    <t>Table  1. 5. Compound Annual Growth in U.S. Per Capita Real National Health Expenditures, GDP and Non-health GDP (chained 2005 dollars): 1929 to 2021</t>
  </si>
  <si>
    <t>PERIOD</t>
  </si>
  <si>
    <t>NHE PER CAPITA</t>
  </si>
  <si>
    <t>GDP DEFLATOR</t>
  </si>
  <si>
    <t>REAL NHE PER CAPITA (2005 DOLLARS)</t>
  </si>
  <si>
    <t>REAL GDP PER CAPITA (CHAINED 2005 DOLLARS)</t>
  </si>
  <si>
    <t>COMPOUND ANNUAL GROWTH RATE (PER CAPITA)</t>
  </si>
  <si>
    <t>NHE MINUS NON-HEALTH GDP</t>
  </si>
  <si>
    <t>Starting Year</t>
  </si>
  <si>
    <t>Ending Year</t>
  </si>
  <si>
    <t>NHE minus GDP</t>
  </si>
  <si>
    <t>Non-health GDP</t>
  </si>
  <si>
    <t>Starting year</t>
  </si>
  <si>
    <t>Ending year</t>
  </si>
  <si>
    <t>By Decade</t>
  </si>
  <si>
    <t>1929-1940</t>
  </si>
  <si>
    <t>1940-1950</t>
  </si>
  <si>
    <t>1950-1960</t>
  </si>
  <si>
    <t>1960-1970</t>
  </si>
  <si>
    <t>1970-1980</t>
  </si>
  <si>
    <t>1980-1990</t>
  </si>
  <si>
    <t>1990-2000</t>
  </si>
  <si>
    <t>2000-2010</t>
  </si>
  <si>
    <t>2010-2020</t>
  </si>
  <si>
    <t>By Historical Epoch</t>
  </si>
  <si>
    <t>1929-1950</t>
  </si>
  <si>
    <t>1950-1965</t>
  </si>
  <si>
    <t>1965-1970</t>
  </si>
  <si>
    <t>1970-1974</t>
  </si>
  <si>
    <t>1974-1982</t>
  </si>
  <si>
    <t>1982-1992</t>
  </si>
  <si>
    <t>1992-2000</t>
  </si>
  <si>
    <t>2000-2007</t>
  </si>
  <si>
    <t>1989-1993</t>
  </si>
  <si>
    <t>2007-2009</t>
  </si>
  <si>
    <t>2009-2012</t>
  </si>
  <si>
    <t>2012-2021</t>
  </si>
  <si>
    <t>Over Multiple Decades</t>
  </si>
  <si>
    <t>1929-1974</t>
  </si>
  <si>
    <t>1974-2021</t>
  </si>
  <si>
    <t>1929-2009</t>
  </si>
  <si>
    <t>1929-2021</t>
  </si>
  <si>
    <t>All figures reported in [S1].</t>
  </si>
  <si>
    <t>All figures calculated from figures in adjacent columns: Real NHE per Capita = NHE per Capita x 100/GDP Deflator.</t>
  </si>
  <si>
    <t>All figures calculated from figures in adjacent columns.</t>
  </si>
  <si>
    <r>
      <rPr>
        <b/>
        <sz val="8"/>
        <rFont val="News Gothic Condensed"/>
      </rPr>
      <t>Duke University,</t>
    </r>
    <r>
      <rPr>
        <sz val="8"/>
        <rFont val="News Gothic Condensed"/>
      </rPr>
      <t xml:space="preserve"> </t>
    </r>
    <r>
      <rPr>
        <b/>
        <sz val="8"/>
        <rFont val="News Gothic Condensed"/>
      </rPr>
      <t>Center for Health Policy and Inequalities Research</t>
    </r>
    <r>
      <rPr>
        <sz val="8"/>
        <rFont val="News Gothic Condensed"/>
      </rPr>
      <t xml:space="preserve">. </t>
    </r>
    <r>
      <rPr>
        <i/>
        <sz val="8"/>
        <rFont val="News Gothic Condensed"/>
      </rPr>
      <t>Table  1.1. U.S. Total Real National Health Expenditures Using Alternative Price Deflators: 1929 to 2021</t>
    </r>
    <r>
      <rPr>
        <sz val="8"/>
        <rFont val="News Gothic Condensed"/>
      </rPr>
      <t>. Durham: Duke University, April 23, 2013.</t>
    </r>
  </si>
  <si>
    <r>
      <rPr>
        <b/>
        <sz val="8"/>
        <rFont val="News Gothic Condensed"/>
      </rPr>
      <t>Duke University,</t>
    </r>
    <r>
      <rPr>
        <sz val="8"/>
        <rFont val="News Gothic Condensed"/>
      </rPr>
      <t xml:space="preserve"> </t>
    </r>
    <r>
      <rPr>
        <b/>
        <sz val="8"/>
        <rFont val="News Gothic Condensed"/>
      </rPr>
      <t>Center for Health Policy and Inequalities Research</t>
    </r>
    <r>
      <rPr>
        <sz val="8"/>
        <rFont val="News Gothic Condensed"/>
      </rPr>
      <t xml:space="preserve">. </t>
    </r>
    <r>
      <rPr>
        <i/>
        <sz val="8"/>
        <rFont val="News Gothic Condensed"/>
      </rPr>
      <t>Table  1.1.2. Alternative U.S. Price Indexes for General and Medical Care Inflation, 1929 to 2019 [Index numbers, 1929=100 unless otherwise shown]</t>
    </r>
    <r>
      <rPr>
        <sz val="8"/>
        <rFont val="News Gothic Condensed"/>
      </rPr>
      <t>. Durham: Duke University, April 23, 2013.</t>
    </r>
  </si>
  <si>
    <t>Linked Tables: Table 1.1, Table 1.1.2</t>
  </si>
  <si>
    <t>Table  1. 5.1 Compound Annual Growth in U.S. Per Capita Real National Health Expenditures, GDP and Non-health GDP (chained 2009 dollars): 1929 to 2021</t>
  </si>
  <si>
    <t>YEAR</t>
  </si>
  <si>
    <t>REAL PER CAPITA AMOUNTS (CHAINED 2009 DOLLARS)</t>
  </si>
  <si>
    <t>ANNUAL PERCENTAGE CHANGE FROM PRIOR YEAR</t>
  </si>
  <si>
    <t>TOTAL EXPENDITURES (BILLIONS OF CURRENT DOLLARS)</t>
  </si>
  <si>
    <t>NHE AS A PERCENTAGE OF:</t>
  </si>
  <si>
    <t>Difference</t>
  </si>
  <si>
    <t>NHE minus Non-health</t>
  </si>
  <si>
    <t>GDP growth</t>
  </si>
  <si>
    <r>
      <t>All figures calculated: (NHE</t>
    </r>
    <r>
      <rPr>
        <vertAlign val="subscript"/>
        <sz val="8"/>
        <rFont val="News Gothic Condensed"/>
      </rPr>
      <t>YearN</t>
    </r>
    <r>
      <rPr>
        <sz val="8"/>
        <rFont val="News Gothic Condensed"/>
      </rPr>
      <t xml:space="preserve"> - NHE</t>
    </r>
    <r>
      <rPr>
        <vertAlign val="subscript"/>
        <sz val="8"/>
        <rFont val="News Gothic Condensed"/>
      </rPr>
      <t>YearN-1</t>
    </r>
    <r>
      <rPr>
        <sz val="8"/>
        <rFont val="News Gothic Condensed"/>
      </rPr>
      <t>)/(GDP</t>
    </r>
    <r>
      <rPr>
        <vertAlign val="subscript"/>
        <sz val="8"/>
        <rFont val="News Gothic Condensed"/>
      </rPr>
      <t>YearN</t>
    </r>
    <r>
      <rPr>
        <sz val="8"/>
        <rFont val="News Gothic Condensed"/>
      </rPr>
      <t xml:space="preserve"> - GDP</t>
    </r>
    <r>
      <rPr>
        <vertAlign val="subscript"/>
        <sz val="8"/>
        <rFont val="News Gothic Condensed"/>
      </rPr>
      <t>YearN-1</t>
    </r>
    <r>
      <rPr>
        <sz val="8"/>
        <rFont val="News Gothic Condensed"/>
      </rPr>
      <t>)</t>
    </r>
  </si>
  <si>
    <t>Linked Tables: Table 1.1, Table 1.3.1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</si>
</sst>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4" formatCode="_(&quot;$&quot;* #,##0.00_);_(&quot;$&quot;* \(#,##0.00\);_(&quot;$&quot;* &quot;-&quot;??_);_(@_)"/>
    <numFmt numFmtId="43" formatCode="_(* #,##0.00_);_(* \(#,##0.00\);_(* &quot;-&quot;??_);_(@_)"/>
    <numFmt numFmtId="164" formatCode="0_);\(0\)"/>
    <numFmt numFmtId="165" formatCode="#,##0.0"/>
    <numFmt numFmtId="166" formatCode="#,##0.000"/>
    <numFmt numFmtId="167" formatCode="#,##0.0000"/>
    <numFmt numFmtId="168" formatCode="_(* #,##0_);_(* \(#,##0\);_(* &quot;-&quot;??_);_(@_)"/>
    <numFmt numFmtId="169" formatCode="0.00000"/>
    <numFmt numFmtId="170" formatCode="#,##0.00000"/>
    <numFmt numFmtId="171" formatCode="0.0%"/>
    <numFmt numFmtId="172" formatCode="0.0"/>
    <numFmt numFmtId="173" formatCode="0.000"/>
    <numFmt numFmtId="174" formatCode="#,##0.000000"/>
    <numFmt numFmtId="175" formatCode="_(* #,##0.000_);_(* \(#,##0.000\);_(* &quot;-&quot;??_);_(@_)"/>
    <numFmt numFmtId="176" formatCode="##0.0;\-##0.0;0.0;"/>
    <numFmt numFmtId="177" formatCode="\ \.\.;\ \.\.;\ \.\.;\ \.\."/>
    <numFmt numFmtId="178" formatCode="##0.0\ \(\d\);\-##0.0\ \(\d\);0.0\ \(\d\);\ \(\d\)"/>
    <numFmt numFmtId="179" formatCode="##0.0\ \e;\-##0.0\ \e;0.0\ \e;\ \e"/>
    <numFmt numFmtId="180" formatCode="##0.0\ \|;\-##0.0\ \|;0.0\ \|;\ \|"/>
  </numFmts>
  <fonts count="26">
    <font>
      <sz val="11"/>
      <color theme="1"/>
      <name val="Calibri"/>
      <family val="2"/>
      <scheme val="minor"/>
    </font>
    <font>
      <sz val="11"/>
      <color theme="1"/>
      <name val="Calibri"/>
      <family val="2"/>
      <scheme val="minor"/>
    </font>
    <font>
      <b/>
      <sz val="8"/>
      <name val="News Gothic Condensed"/>
    </font>
    <font>
      <sz val="8"/>
      <name val="News Gothic Condensed"/>
      <family val="2"/>
    </font>
    <font>
      <sz val="6"/>
      <name val="News Gothic Condensed"/>
      <family val="2"/>
    </font>
    <font>
      <b/>
      <i/>
      <sz val="8"/>
      <name val="News Gothic Condensed"/>
    </font>
    <font>
      <sz val="8"/>
      <name val="News Gothic Condensed"/>
    </font>
    <font>
      <sz val="11"/>
      <name val="Arial"/>
      <family val="2"/>
    </font>
    <font>
      <b/>
      <sz val="10"/>
      <name val="Arial"/>
      <family val="2"/>
    </font>
    <font>
      <sz val="10"/>
      <name val="Arial"/>
      <family val="2"/>
    </font>
    <font>
      <i/>
      <sz val="8"/>
      <name val="News Gothic Condensed"/>
    </font>
    <font>
      <sz val="14"/>
      <color rgb="FFFF0000"/>
      <name val="News Gothic Condensed"/>
    </font>
    <font>
      <vertAlign val="subscript"/>
      <sz val="8"/>
      <name val="News Gothic Condensed"/>
    </font>
    <font>
      <sz val="12"/>
      <name val="Arial"/>
      <family val="2"/>
    </font>
    <font>
      <sz val="8"/>
      <name val="Bell Centennial NameAndNumber"/>
      <family val="2"/>
    </font>
    <font>
      <sz val="10"/>
      <color indexed="8"/>
      <name val="Arial"/>
      <family val="2"/>
    </font>
    <font>
      <u/>
      <sz val="7.5"/>
      <color indexed="12"/>
      <name val="Arial"/>
      <family val="2"/>
    </font>
    <font>
      <u/>
      <sz val="10"/>
      <color indexed="12"/>
      <name val="Arial"/>
      <family val="2"/>
    </font>
    <font>
      <u/>
      <sz val="12"/>
      <color theme="10"/>
      <name val="Arial"/>
      <family val="2"/>
    </font>
    <font>
      <u/>
      <sz val="10"/>
      <color theme="10"/>
      <name val="Arial"/>
      <family val="2"/>
    </font>
    <font>
      <sz val="8"/>
      <color theme="1"/>
      <name val="Calibri"/>
      <family val="2"/>
      <scheme val="minor"/>
    </font>
    <font>
      <sz val="10"/>
      <color theme="1"/>
      <name val="Arial"/>
      <family val="2"/>
    </font>
    <font>
      <sz val="7"/>
      <name val="Arial"/>
      <family val="2"/>
    </font>
    <font>
      <b/>
      <sz val="12"/>
      <name val="Arial"/>
      <family val="2"/>
    </font>
    <font>
      <i/>
      <sz val="10"/>
      <name val="Arial"/>
      <family val="2"/>
    </font>
    <font>
      <b/>
      <sz val="10"/>
      <color theme="1"/>
      <name val="Arial"/>
      <family val="2"/>
    </font>
  </fonts>
  <fills count="2">
    <fill>
      <patternFill patternType="none"/>
    </fill>
    <fill>
      <patternFill patternType="gray125"/>
    </fill>
  </fills>
  <borders count="28">
    <border>
      <left/>
      <right/>
      <top/>
      <bottom/>
      <diagonal/>
    </border>
    <border>
      <left/>
      <right/>
      <top style="thin">
        <color theme="4"/>
      </top>
      <bottom style="double">
        <color theme="4"/>
      </bottom>
      <diagonal/>
    </border>
    <border>
      <left/>
      <right/>
      <top/>
      <bottom style="thick">
        <color indexed="64"/>
      </bottom>
      <diagonal/>
    </border>
    <border>
      <left/>
      <right/>
      <top style="thick">
        <color indexed="64"/>
      </top>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ck">
        <color auto="1"/>
      </top>
      <bottom/>
      <diagonal/>
    </border>
    <border>
      <left/>
      <right style="thin">
        <color indexed="64"/>
      </right>
      <top style="thick">
        <color indexed="64"/>
      </top>
      <bottom style="thin">
        <color indexed="64"/>
      </bottom>
      <diagonal/>
    </border>
    <border>
      <left/>
      <right/>
      <top style="thin">
        <color rgb="FF000000"/>
      </top>
      <bottom/>
      <diagonal/>
    </border>
    <border>
      <left/>
      <right/>
      <top/>
      <bottom style="thick">
        <color rgb="FF3366FF"/>
      </bottom>
      <diagonal/>
    </border>
    <border>
      <left/>
      <right/>
      <top style="thick">
        <color rgb="FF3366FF"/>
      </top>
      <bottom/>
      <diagonal/>
    </border>
  </borders>
  <cellStyleXfs count="61">
    <xf numFmtId="0" fontId="0" fillId="0" borderId="0"/>
    <xf numFmtId="43" fontId="1" fillId="0" borderId="0" applyFont="0" applyFill="0" applyBorder="0" applyAlignment="0" applyProtection="0"/>
    <xf numFmtId="9" fontId="1" fillId="0" borderId="0" applyFont="0" applyFill="0" applyBorder="0" applyAlignment="0" applyProtection="0"/>
    <xf numFmtId="0" fontId="9" fillId="0" borderId="0"/>
    <xf numFmtId="0" fontId="9" fillId="0" borderId="0"/>
    <xf numFmtId="0" fontId="9" fillId="0" borderId="0"/>
    <xf numFmtId="0" fontId="9" fillId="0" borderId="0"/>
    <xf numFmtId="0" fontId="13" fillId="0" borderId="0"/>
    <xf numFmtId="43" fontId="9" fillId="0" borderId="0" applyFont="0" applyFill="0" applyBorder="0" applyAlignment="0" applyProtection="0"/>
    <xf numFmtId="43" fontId="15" fillId="0" borderId="0" applyFont="0" applyFill="0" applyBorder="0" applyAlignment="0" applyProtection="0"/>
    <xf numFmtId="44" fontId="9" fillId="0" borderId="0" applyFont="0" applyFill="0" applyBorder="0" applyAlignment="0" applyProtection="0"/>
    <xf numFmtId="0" fontId="16"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8" fillId="0" borderId="0" applyNumberFormat="0" applyFill="0" applyBorder="0" applyAlignment="0" applyProtection="0"/>
    <xf numFmtId="0" fontId="19" fillId="0" borderId="0" applyNumberFormat="0" applyFill="0" applyBorder="0" applyAlignment="0" applyProtection="0"/>
    <xf numFmtId="0" fontId="13" fillId="0" borderId="0"/>
    <xf numFmtId="0" fontId="9" fillId="0" borderId="0"/>
    <xf numFmtId="0" fontId="9" fillId="0" borderId="0"/>
    <xf numFmtId="0" fontId="20" fillId="0" borderId="0"/>
    <xf numFmtId="0" fontId="9" fillId="0" borderId="0"/>
    <xf numFmtId="0" fontId="1" fillId="0" borderId="0"/>
    <xf numFmtId="0" fontId="9" fillId="0" borderId="0"/>
    <xf numFmtId="0" fontId="13" fillId="0" borderId="0"/>
    <xf numFmtId="0" fontId="21" fillId="0" borderId="0"/>
    <xf numFmtId="0" fontId="9" fillId="0" borderId="0"/>
    <xf numFmtId="0" fontId="9" fillId="0" borderId="0" applyFill="0"/>
    <xf numFmtId="0" fontId="9" fillId="0" borderId="0" applyFill="0"/>
    <xf numFmtId="9" fontId="9" fillId="0" borderId="0" applyFont="0" applyFill="0" applyBorder="0" applyAlignment="0" applyProtection="0"/>
    <xf numFmtId="9" fontId="15" fillId="0" borderId="0" applyFont="0" applyFill="0" applyBorder="0" applyAlignment="0" applyProtection="0"/>
    <xf numFmtId="0" fontId="1" fillId="0" borderId="0" applyNumberFormat="0" applyFont="0" applyFill="0" applyBorder="0" applyProtection="0">
      <alignment horizontal="left" vertical="center"/>
    </xf>
    <xf numFmtId="0" fontId="22" fillId="0" borderId="25" applyNumberFormat="0" applyFill="0" applyProtection="0">
      <alignment horizontal="left" vertical="center" wrapText="1"/>
    </xf>
    <xf numFmtId="176" fontId="22" fillId="0" borderId="25" applyFill="0" applyProtection="0">
      <alignment horizontal="right" vertical="center" wrapText="1"/>
    </xf>
    <xf numFmtId="177" fontId="22" fillId="0" borderId="25" applyFill="0" applyProtection="0">
      <alignment horizontal="right" vertical="center" wrapText="1"/>
    </xf>
    <xf numFmtId="0" fontId="22" fillId="0" borderId="0" applyNumberFormat="0" applyFill="0" applyBorder="0" applyProtection="0">
      <alignment horizontal="left" vertical="center" wrapText="1"/>
    </xf>
    <xf numFmtId="0" fontId="22" fillId="0" borderId="0" applyNumberFormat="0" applyFill="0" applyBorder="0" applyProtection="0">
      <alignment horizontal="left" vertical="center" wrapText="1"/>
    </xf>
    <xf numFmtId="176" fontId="22" fillId="0" borderId="0" applyFill="0" applyBorder="0" applyProtection="0">
      <alignment horizontal="right" vertical="center" wrapText="1"/>
    </xf>
    <xf numFmtId="177" fontId="22" fillId="0" borderId="0" applyFill="0" applyBorder="0" applyProtection="0">
      <alignment horizontal="right" vertical="center" wrapText="1"/>
    </xf>
    <xf numFmtId="178" fontId="22" fillId="0" borderId="0" applyFill="0" applyBorder="0" applyProtection="0">
      <alignment horizontal="right" vertical="center" wrapText="1"/>
    </xf>
    <xf numFmtId="179" fontId="22" fillId="0" borderId="0" applyFill="0" applyBorder="0" applyProtection="0">
      <alignment horizontal="right" vertical="center" wrapText="1"/>
    </xf>
    <xf numFmtId="180" fontId="22" fillId="0" borderId="0" applyFill="0" applyBorder="0" applyProtection="0">
      <alignment horizontal="right" vertical="center" wrapText="1"/>
    </xf>
    <xf numFmtId="0" fontId="9" fillId="0" borderId="0" applyNumberFormat="0" applyFill="0" applyBorder="0" applyAlignment="0" applyProtection="0"/>
    <xf numFmtId="0" fontId="22" fillId="0" borderId="26" applyNumberFormat="0" applyFill="0" applyProtection="0">
      <alignment horizontal="left" vertical="center" wrapText="1"/>
    </xf>
    <xf numFmtId="0" fontId="22" fillId="0" borderId="26" applyNumberFormat="0" applyFill="0" applyProtection="0">
      <alignment horizontal="left" vertical="center" wrapText="1"/>
    </xf>
    <xf numFmtId="176" fontId="22" fillId="0" borderId="26" applyFill="0" applyProtection="0">
      <alignment horizontal="right" vertical="center" wrapText="1"/>
    </xf>
    <xf numFmtId="177" fontId="22" fillId="0" borderId="26" applyFill="0" applyProtection="0">
      <alignment horizontal="right" vertical="center" wrapText="1"/>
    </xf>
    <xf numFmtId="0" fontId="9" fillId="0" borderId="0" applyNumberFormat="0" applyFill="0" applyBorder="0" applyProtection="0">
      <alignment horizontal="left" vertical="center" wrapText="1"/>
    </xf>
    <xf numFmtId="0" fontId="9" fillId="0" borderId="0" applyNumberFormat="0" applyFill="0" applyBorder="0" applyProtection="0">
      <alignment vertical="center" wrapText="1"/>
    </xf>
    <xf numFmtId="0" fontId="9" fillId="0" borderId="0" applyNumberFormat="0" applyFill="0" applyBorder="0" applyProtection="0">
      <alignment vertical="center" wrapText="1"/>
    </xf>
    <xf numFmtId="0" fontId="9" fillId="0" borderId="0" applyNumberFormat="0" applyFill="0" applyBorder="0" applyProtection="0">
      <alignment horizontal="left" vertical="center" wrapText="1"/>
    </xf>
    <xf numFmtId="0" fontId="9" fillId="0" borderId="0" applyNumberFormat="0" applyFill="0" applyBorder="0" applyProtection="0">
      <alignment vertical="center" wrapText="1"/>
    </xf>
    <xf numFmtId="0" fontId="9" fillId="0" borderId="0" applyNumberFormat="0" applyFill="0" applyBorder="0" applyProtection="0">
      <alignment horizontal="left" vertical="center" wrapText="1"/>
    </xf>
    <xf numFmtId="0" fontId="23" fillId="0" borderId="0" applyNumberFormat="0" applyFill="0" applyBorder="0" applyProtection="0">
      <alignment horizontal="left" vertical="center" wrapText="1"/>
    </xf>
    <xf numFmtId="0" fontId="9" fillId="0" borderId="0" applyNumberFormat="0" applyFill="0" applyBorder="0" applyProtection="0">
      <alignment vertical="center" wrapText="1"/>
    </xf>
    <xf numFmtId="0" fontId="1" fillId="0" borderId="0" applyNumberFormat="0" applyFont="0" applyFill="0" applyBorder="0" applyProtection="0">
      <alignment horizontal="left" vertical="center"/>
    </xf>
    <xf numFmtId="0" fontId="23" fillId="0" borderId="0" applyNumberFormat="0" applyFill="0" applyBorder="0" applyProtection="0">
      <alignment horizontal="left" vertical="center" wrapText="1"/>
    </xf>
    <xf numFmtId="0" fontId="24" fillId="0" borderId="0" applyNumberFormat="0" applyFill="0" applyBorder="0" applyProtection="0">
      <alignment vertical="center" wrapText="1"/>
    </xf>
    <xf numFmtId="0" fontId="1" fillId="0" borderId="27" applyNumberFormat="0" applyFont="0" applyFill="0" applyProtection="0">
      <alignment horizontal="center" vertical="center" wrapText="1"/>
    </xf>
    <xf numFmtId="0" fontId="23" fillId="0" borderId="27" applyNumberFormat="0" applyFill="0" applyProtection="0">
      <alignment horizontal="center" vertical="center" wrapText="1"/>
    </xf>
    <xf numFmtId="0" fontId="23" fillId="0" borderId="27" applyNumberFormat="0" applyFill="0" applyProtection="0">
      <alignment horizontal="center" vertical="center" wrapText="1"/>
    </xf>
    <xf numFmtId="0" fontId="22" fillId="0" borderId="25" applyNumberFormat="0" applyFill="0" applyProtection="0">
      <alignment horizontal="left" vertical="center" wrapText="1"/>
    </xf>
    <xf numFmtId="0" fontId="25" fillId="0" borderId="1" applyNumberFormat="0" applyFill="0" applyAlignment="0" applyProtection="0"/>
  </cellStyleXfs>
  <cellXfs count="347">
    <xf numFmtId="0" fontId="0" fillId="0" borderId="0" xfId="0"/>
    <xf numFmtId="0" fontId="2"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8"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9" xfId="0" applyFont="1" applyBorder="1" applyAlignment="1">
      <alignment horizontal="center" vertical="center" wrapText="1"/>
    </xf>
    <xf numFmtId="0" fontId="3" fillId="0" borderId="15" xfId="0" applyFont="1" applyBorder="1" applyAlignment="1">
      <alignment horizontal="center" vertical="center" wrapText="1"/>
    </xf>
    <xf numFmtId="164" fontId="3" fillId="0" borderId="16" xfId="1" applyNumberFormat="1" applyFont="1" applyBorder="1" applyAlignment="1">
      <alignment horizontal="right" wrapText="1" indent="1"/>
    </xf>
    <xf numFmtId="3" fontId="5" fillId="0" borderId="8" xfId="0" applyNumberFormat="1" applyFont="1" applyBorder="1" applyAlignment="1">
      <alignment horizontal="right" wrapText="1"/>
    </xf>
    <xf numFmtId="165" fontId="5" fillId="0" borderId="8" xfId="0" applyNumberFormat="1" applyFont="1" applyBorder="1" applyAlignment="1">
      <alignment horizontal="right" wrapText="1"/>
    </xf>
    <xf numFmtId="165" fontId="3" fillId="0" borderId="8" xfId="0" applyNumberFormat="1" applyFont="1" applyBorder="1" applyAlignment="1">
      <alignment horizontal="right" wrapText="1"/>
    </xf>
    <xf numFmtId="3" fontId="3" fillId="0" borderId="8" xfId="0" applyNumberFormat="1" applyFont="1" applyBorder="1" applyAlignment="1">
      <alignment horizontal="right" wrapText="1"/>
    </xf>
    <xf numFmtId="164" fontId="3" fillId="0" borderId="11" xfId="1" applyNumberFormat="1" applyFont="1" applyBorder="1" applyAlignment="1">
      <alignment horizontal="right" wrapText="1" indent="1"/>
    </xf>
    <xf numFmtId="3" fontId="6" fillId="0" borderId="8" xfId="0" applyNumberFormat="1" applyFont="1" applyBorder="1" applyAlignment="1">
      <alignment horizontal="right"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0" xfId="0" applyFont="1" applyBorder="1" applyAlignment="1">
      <alignment vertical="center" wrapText="1"/>
    </xf>
    <xf numFmtId="14" fontId="3" fillId="0" borderId="20" xfId="0" applyNumberFormat="1" applyFont="1" applyBorder="1" applyAlignment="1" applyProtection="1">
      <alignment horizontal="left" vertical="center" wrapText="1"/>
      <protection locked="0"/>
    </xf>
    <xf numFmtId="0" fontId="2" fillId="0" borderId="14" xfId="0" applyFont="1" applyBorder="1" applyAlignment="1">
      <alignment horizontal="center" vertical="center" wrapText="1"/>
    </xf>
    <xf numFmtId="0" fontId="3" fillId="0" borderId="14" xfId="0" applyFont="1" applyBorder="1" applyAlignment="1">
      <alignment horizontal="left" vertical="center" wrapText="1"/>
    </xf>
    <xf numFmtId="0" fontId="2" fillId="0" borderId="19" xfId="0" applyFont="1" applyBorder="1" applyAlignment="1">
      <alignment horizontal="center" vertical="center" wrapText="1"/>
    </xf>
    <xf numFmtId="0" fontId="0" fillId="0" borderId="19" xfId="0" applyBorder="1" applyAlignment="1">
      <alignment vertical="top" wrapText="1"/>
    </xf>
    <xf numFmtId="0" fontId="7" fillId="0" borderId="19" xfId="0" applyFont="1" applyBorder="1" applyAlignment="1">
      <alignment vertical="center"/>
    </xf>
    <xf numFmtId="0" fontId="7" fillId="0" borderId="0" xfId="0" applyFont="1" applyAlignment="1">
      <alignment vertical="center"/>
    </xf>
    <xf numFmtId="0" fontId="6" fillId="0" borderId="0" xfId="0" applyFont="1" applyBorder="1" applyAlignment="1">
      <alignment horizontal="center" vertical="top" wrapText="1"/>
    </xf>
    <xf numFmtId="0" fontId="3" fillId="0" borderId="0" xfId="0" applyFont="1" applyBorder="1" applyAlignment="1">
      <alignment horizontal="left" vertical="top" wrapText="1"/>
    </xf>
    <xf numFmtId="0" fontId="7" fillId="0" borderId="0" xfId="0" applyFont="1" applyAlignment="1">
      <alignment vertical="top"/>
    </xf>
    <xf numFmtId="0" fontId="3" fillId="0" borderId="0" xfId="0" applyFont="1" applyBorder="1" applyAlignment="1">
      <alignment horizontal="left" vertical="center" wrapText="1"/>
    </xf>
    <xf numFmtId="0" fontId="2" fillId="0" borderId="19" xfId="0" applyFont="1" applyBorder="1" applyAlignment="1">
      <alignment horizontal="left" vertical="center" wrapText="1"/>
    </xf>
    <xf numFmtId="0" fontId="2" fillId="0" borderId="20" xfId="0" applyFont="1" applyBorder="1" applyAlignment="1">
      <alignment horizontal="center" vertical="center" wrapText="1"/>
    </xf>
    <xf numFmtId="0" fontId="2" fillId="0" borderId="20" xfId="0" applyFont="1" applyBorder="1" applyAlignment="1">
      <alignment vertical="center" wrapText="1"/>
    </xf>
    <xf numFmtId="0" fontId="0" fillId="0" borderId="10" xfId="0" applyBorder="1" applyAlignment="1">
      <alignment horizontal="center" vertical="center" wrapText="1"/>
    </xf>
    <xf numFmtId="0" fontId="3" fillId="0" borderId="21" xfId="0" applyFont="1" applyBorder="1" applyAlignment="1">
      <alignment horizontal="center" vertical="center" wrapText="1"/>
    </xf>
    <xf numFmtId="0" fontId="8" fillId="0" borderId="0" xfId="0" applyFont="1" applyBorder="1" applyAlignment="1">
      <alignment vertical="center"/>
    </xf>
    <xf numFmtId="0" fontId="8" fillId="0" borderId="0" xfId="0" applyFont="1" applyAlignment="1">
      <alignment vertical="center"/>
    </xf>
    <xf numFmtId="0" fontId="4" fillId="0" borderId="10" xfId="0" applyFont="1" applyBorder="1" applyAlignment="1">
      <alignment horizontal="center" vertical="center" wrapText="1"/>
    </xf>
    <xf numFmtId="164" fontId="3" fillId="0" borderId="20" xfId="1" applyNumberFormat="1" applyFont="1" applyBorder="1" applyAlignment="1">
      <alignment horizontal="right" wrapText="1" indent="1"/>
    </xf>
    <xf numFmtId="3" fontId="3" fillId="0" borderId="12" xfId="0" applyNumberFormat="1" applyFont="1" applyBorder="1" applyAlignment="1">
      <alignment horizontal="center" wrapText="1"/>
    </xf>
    <xf numFmtId="166" fontId="2" fillId="0" borderId="21" xfId="0" applyNumberFormat="1" applyFont="1" applyBorder="1" applyAlignment="1">
      <alignment horizontal="right" wrapText="1"/>
    </xf>
    <xf numFmtId="4" fontId="3" fillId="0" borderId="8" xfId="0" applyNumberFormat="1" applyFont="1" applyBorder="1" applyAlignment="1">
      <alignment horizontal="right" wrapText="1"/>
    </xf>
    <xf numFmtId="4" fontId="3" fillId="0" borderId="8" xfId="0" applyNumberFormat="1" applyFont="1" applyBorder="1" applyAlignment="1">
      <alignment horizontal="center" wrapText="1"/>
    </xf>
    <xf numFmtId="167" fontId="2" fillId="0" borderId="21" xfId="0" applyNumberFormat="1" applyFont="1" applyBorder="1" applyAlignment="1">
      <alignment horizontal="right" wrapText="1"/>
    </xf>
    <xf numFmtId="0" fontId="7" fillId="0" borderId="0" xfId="0" applyFont="1" applyBorder="1" applyAlignment="1">
      <alignment vertical="top"/>
    </xf>
    <xf numFmtId="164" fontId="3" fillId="0" borderId="0" xfId="1" applyNumberFormat="1" applyFont="1" applyBorder="1" applyAlignment="1">
      <alignment horizontal="right" wrapText="1" indent="1"/>
    </xf>
    <xf numFmtId="3" fontId="3" fillId="0" borderId="21" xfId="0" applyNumberFormat="1" applyFont="1" applyBorder="1" applyAlignment="1">
      <alignment horizontal="center" wrapText="1"/>
    </xf>
    <xf numFmtId="3" fontId="3" fillId="0" borderId="21" xfId="0" applyNumberFormat="1" applyFont="1" applyBorder="1" applyAlignment="1">
      <alignment horizontal="right" wrapText="1"/>
    </xf>
    <xf numFmtId="166" fontId="3" fillId="0" borderId="8" xfId="0" applyNumberFormat="1" applyFont="1" applyBorder="1" applyAlignment="1">
      <alignment horizontal="right" wrapText="1"/>
    </xf>
    <xf numFmtId="0" fontId="3" fillId="0" borderId="0"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0" xfId="0" applyFont="1" applyBorder="1" applyAlignment="1">
      <alignment vertical="top" wrapText="1"/>
    </xf>
    <xf numFmtId="0" fontId="0" fillId="0" borderId="0" xfId="0" applyAlignment="1">
      <alignment horizontal="left" vertical="top" wrapText="1"/>
    </xf>
    <xf numFmtId="0" fontId="2" fillId="0" borderId="0" xfId="0" applyFont="1" applyBorder="1" applyAlignment="1">
      <alignment horizontal="center" vertical="top" wrapText="1"/>
    </xf>
    <xf numFmtId="0" fontId="2" fillId="0" borderId="20" xfId="0" applyFont="1" applyBorder="1" applyAlignment="1">
      <alignment horizontal="left" vertical="center" wrapText="1"/>
    </xf>
    <xf numFmtId="0" fontId="0" fillId="0" borderId="0" xfId="0" applyBorder="1" applyAlignment="1">
      <alignment horizontal="center" vertical="center" wrapText="1"/>
    </xf>
    <xf numFmtId="168" fontId="3" fillId="0" borderId="12" xfId="1" applyNumberFormat="1" applyFont="1" applyBorder="1" applyAlignment="1">
      <alignment horizontal="right" vertical="top" wrapText="1"/>
    </xf>
    <xf numFmtId="169" fontId="3" fillId="0" borderId="12" xfId="0" applyNumberFormat="1" applyFont="1" applyBorder="1" applyAlignment="1">
      <alignment horizontal="right" vertical="top" wrapText="1"/>
    </xf>
    <xf numFmtId="168" fontId="3" fillId="0" borderId="8" xfId="1" applyNumberFormat="1" applyFont="1" applyBorder="1" applyAlignment="1">
      <alignment horizontal="center" vertical="top" wrapText="1"/>
    </xf>
    <xf numFmtId="0" fontId="3" fillId="0" borderId="0" xfId="0" applyFont="1" applyBorder="1" applyAlignment="1">
      <alignment horizontal="left" vertical="top" wrapText="1"/>
    </xf>
    <xf numFmtId="168" fontId="3" fillId="0" borderId="21" xfId="1" applyNumberFormat="1" applyFont="1" applyBorder="1" applyAlignment="1">
      <alignment horizontal="right" vertical="top" wrapText="1"/>
    </xf>
    <xf numFmtId="169" fontId="3" fillId="0" borderId="21" xfId="0" applyNumberFormat="1" applyFont="1" applyBorder="1" applyAlignment="1">
      <alignment horizontal="right" vertical="top" wrapText="1"/>
    </xf>
    <xf numFmtId="168" fontId="3" fillId="0" borderId="21" xfId="1" applyNumberFormat="1" applyFont="1" applyBorder="1" applyAlignment="1">
      <alignment horizontal="center" vertical="top" wrapText="1"/>
    </xf>
    <xf numFmtId="170" fontId="2" fillId="0" borderId="21" xfId="0" applyNumberFormat="1" applyFont="1" applyBorder="1" applyAlignment="1">
      <alignment horizontal="right" wrapText="1"/>
    </xf>
    <xf numFmtId="168" fontId="5" fillId="0" borderId="0" xfId="0" applyNumberFormat="1" applyFont="1" applyBorder="1" applyAlignment="1">
      <alignment horizontal="right" vertical="top" wrapText="1"/>
    </xf>
    <xf numFmtId="0" fontId="6" fillId="0" borderId="14" xfId="0" applyFont="1" applyBorder="1" applyAlignment="1">
      <alignment horizontal="center" vertical="top" wrapText="1"/>
    </xf>
    <xf numFmtId="0" fontId="3" fillId="0" borderId="16" xfId="0" applyFont="1" applyBorder="1" applyAlignment="1">
      <alignment horizontal="center" vertical="center" wrapText="1"/>
    </xf>
    <xf numFmtId="0" fontId="0" fillId="0" borderId="17" xfId="0" applyBorder="1" applyAlignment="1">
      <alignment horizontal="center" vertical="center" wrapText="1"/>
    </xf>
    <xf numFmtId="0" fontId="3" fillId="0" borderId="9" xfId="0" applyFont="1" applyBorder="1" applyAlignment="1">
      <alignment horizontal="center" vertical="center" wrapText="1"/>
    </xf>
    <xf numFmtId="3" fontId="3" fillId="0" borderId="8" xfId="0" applyNumberFormat="1" applyFont="1" applyBorder="1" applyAlignment="1">
      <alignment horizontal="center" wrapText="1"/>
    </xf>
    <xf numFmtId="3" fontId="8" fillId="0" borderId="0" xfId="0" applyNumberFormat="1" applyFont="1" applyAlignment="1">
      <alignment vertical="center"/>
    </xf>
    <xf numFmtId="0" fontId="9" fillId="0" borderId="0" xfId="3"/>
    <xf numFmtId="171" fontId="3" fillId="0" borderId="8" xfId="2" applyNumberFormat="1" applyFont="1" applyBorder="1" applyAlignment="1">
      <alignment horizontal="right" wrapText="1"/>
    </xf>
    <xf numFmtId="1" fontId="9" fillId="0" borderId="0" xfId="4" applyNumberFormat="1" applyFill="1"/>
    <xf numFmtId="168" fontId="5" fillId="0" borderId="8" xfId="1" applyNumberFormat="1" applyFont="1" applyBorder="1" applyAlignment="1">
      <alignment horizontal="right" wrapText="1"/>
    </xf>
    <xf numFmtId="0" fontId="6" fillId="0" borderId="0" xfId="0" applyFont="1" applyBorder="1" applyAlignment="1">
      <alignment horizontal="left" vertical="top" wrapText="1"/>
    </xf>
    <xf numFmtId="0" fontId="9" fillId="0" borderId="0" xfId="0" applyFont="1" applyAlignment="1">
      <alignment vertical="top"/>
    </xf>
    <xf numFmtId="0" fontId="2" fillId="0" borderId="0" xfId="0" applyFont="1" applyBorder="1" applyAlignment="1">
      <alignment horizontal="left" vertical="top" wrapText="1"/>
    </xf>
    <xf numFmtId="0" fontId="11" fillId="0" borderId="0" xfId="0" applyFont="1" applyFill="1" applyBorder="1" applyAlignment="1">
      <alignment horizontal="left" vertical="top" wrapText="1"/>
    </xf>
    <xf numFmtId="0" fontId="2" fillId="0" borderId="0" xfId="0" applyFont="1" applyBorder="1" applyAlignment="1">
      <alignment horizontal="center" vertical="center" wrapText="1"/>
    </xf>
    <xf numFmtId="0" fontId="0" fillId="0" borderId="0" xfId="0" applyBorder="1"/>
    <xf numFmtId="0" fontId="2" fillId="0" borderId="0" xfId="0" applyFont="1" applyBorder="1" applyAlignment="1">
      <alignment horizontal="center" vertical="top" wrapText="1"/>
    </xf>
    <xf numFmtId="0" fontId="3" fillId="0" borderId="14" xfId="0" applyFont="1" applyBorder="1" applyAlignment="1">
      <alignment horizontal="center" vertical="center" wrapText="1"/>
    </xf>
    <xf numFmtId="164" fontId="3" fillId="0" borderId="11" xfId="1" applyNumberFormat="1" applyFont="1" applyBorder="1" applyAlignment="1">
      <alignment horizontal="center" wrapText="1"/>
    </xf>
    <xf numFmtId="4" fontId="6" fillId="0" borderId="8" xfId="0" applyNumberFormat="1" applyFont="1" applyBorder="1" applyAlignment="1">
      <alignment horizontal="center" wrapText="1"/>
    </xf>
    <xf numFmtId="0" fontId="9" fillId="0" borderId="0" xfId="5" applyBorder="1"/>
    <xf numFmtId="171" fontId="3" fillId="0" borderId="8" xfId="2" quotePrefix="1" applyNumberFormat="1" applyFont="1" applyBorder="1" applyAlignment="1">
      <alignment horizontal="center" wrapText="1"/>
    </xf>
    <xf numFmtId="4" fontId="5" fillId="0" borderId="8" xfId="0" applyNumberFormat="1" applyFont="1" applyBorder="1" applyAlignment="1">
      <alignment horizontal="right" wrapText="1"/>
    </xf>
    <xf numFmtId="4" fontId="2" fillId="0" borderId="8" xfId="0" applyNumberFormat="1" applyFont="1" applyBorder="1" applyAlignment="1">
      <alignment horizontal="right" wrapText="1"/>
    </xf>
    <xf numFmtId="171" fontId="3" fillId="0" borderId="21" xfId="2" applyNumberFormat="1" applyFont="1" applyBorder="1" applyAlignment="1">
      <alignment horizontal="right" wrapText="1"/>
    </xf>
    <xf numFmtId="171" fontId="3" fillId="0" borderId="0" xfId="2" applyNumberFormat="1" applyFont="1" applyBorder="1" applyAlignment="1">
      <alignment horizontal="right" wrapText="1"/>
    </xf>
    <xf numFmtId="4" fontId="6" fillId="0" borderId="8" xfId="0" applyNumberFormat="1" applyFont="1" applyBorder="1" applyAlignment="1">
      <alignment horizontal="right" wrapText="1"/>
    </xf>
    <xf numFmtId="166" fontId="5" fillId="0" borderId="8" xfId="0" applyNumberFormat="1" applyFont="1" applyBorder="1" applyAlignment="1">
      <alignment horizontal="right" wrapText="1"/>
    </xf>
    <xf numFmtId="4" fontId="5" fillId="0" borderId="21" xfId="0" applyNumberFormat="1" applyFont="1" applyBorder="1" applyAlignment="1">
      <alignment horizontal="right" wrapText="1"/>
    </xf>
    <xf numFmtId="4" fontId="5" fillId="0" borderId="15" xfId="0" applyNumberFormat="1" applyFont="1" applyBorder="1" applyAlignment="1">
      <alignment horizontal="right" wrapText="1"/>
    </xf>
    <xf numFmtId="171" fontId="3" fillId="0" borderId="9" xfId="2" quotePrefix="1" applyNumberFormat="1" applyFont="1" applyBorder="1" applyAlignment="1">
      <alignment horizontal="center" wrapText="1"/>
    </xf>
    <xf numFmtId="171" fontId="3" fillId="0" borderId="9" xfId="2" applyNumberFormat="1" applyFont="1" applyBorder="1" applyAlignment="1">
      <alignment horizontal="right" wrapText="1"/>
    </xf>
    <xf numFmtId="4" fontId="6" fillId="0" borderId="9" xfId="0" applyNumberFormat="1" applyFont="1" applyBorder="1" applyAlignment="1">
      <alignment horizontal="center" wrapText="1"/>
    </xf>
    <xf numFmtId="171" fontId="3" fillId="0" borderId="10" xfId="2" applyNumberFormat="1" applyFont="1" applyBorder="1" applyAlignment="1">
      <alignment horizontal="right" wrapText="1"/>
    </xf>
    <xf numFmtId="0" fontId="3" fillId="0" borderId="14" xfId="0" applyFont="1" applyBorder="1" applyAlignment="1">
      <alignment vertical="center" wrapText="1"/>
    </xf>
    <xf numFmtId="0" fontId="7" fillId="0" borderId="0" xfId="0" applyFont="1" applyBorder="1" applyAlignment="1">
      <alignment vertical="center"/>
    </xf>
    <xf numFmtId="0" fontId="3" fillId="0" borderId="14" xfId="0" applyFont="1" applyBorder="1" applyAlignment="1">
      <alignment horizontal="left" vertical="top" wrapText="1"/>
    </xf>
    <xf numFmtId="0" fontId="2" fillId="0" borderId="14" xfId="0" applyFont="1" applyBorder="1" applyAlignment="1">
      <alignment horizontal="left" vertical="center" wrapText="1"/>
    </xf>
    <xf numFmtId="0" fontId="3" fillId="0" borderId="20" xfId="0" applyFont="1" applyBorder="1" applyAlignment="1">
      <alignment horizontal="center" vertical="center" wrapText="1"/>
    </xf>
    <xf numFmtId="0" fontId="4" fillId="0" borderId="15" xfId="0" applyFont="1" applyBorder="1" applyAlignment="1">
      <alignment horizontal="center" vertical="center" wrapText="1"/>
    </xf>
    <xf numFmtId="166" fontId="3" fillId="0" borderId="8" xfId="0" applyNumberFormat="1" applyFont="1" applyBorder="1" applyAlignment="1">
      <alignment horizontal="right" wrapText="1" indent="1"/>
    </xf>
    <xf numFmtId="172" fontId="9" fillId="0" borderId="0" xfId="4" applyNumberFormat="1" applyFill="1"/>
    <xf numFmtId="166" fontId="3" fillId="0" borderId="8" xfId="0" applyNumberFormat="1" applyFont="1" applyBorder="1" applyAlignment="1">
      <alignment horizontal="center" wrapText="1"/>
    </xf>
    <xf numFmtId="173" fontId="0" fillId="0" borderId="0" xfId="0" applyNumberFormat="1"/>
    <xf numFmtId="165" fontId="3" fillId="0" borderId="8" xfId="0" applyNumberFormat="1" applyFont="1" applyBorder="1" applyAlignment="1">
      <alignment horizontal="center" vertical="center" wrapText="1"/>
    </xf>
    <xf numFmtId="0" fontId="3" fillId="0" borderId="19" xfId="0" applyFont="1" applyBorder="1" applyAlignment="1">
      <alignment horizontal="center" vertical="center" wrapText="1"/>
    </xf>
    <xf numFmtId="0" fontId="9" fillId="0" borderId="0" xfId="0" applyFont="1" applyBorder="1" applyAlignment="1">
      <alignment vertical="top"/>
    </xf>
    <xf numFmtId="164" fontId="3" fillId="0" borderId="0" xfId="1" applyNumberFormat="1" applyFont="1" applyBorder="1" applyAlignment="1">
      <alignment horizontal="center" wrapText="1"/>
    </xf>
    <xf numFmtId="165" fontId="3" fillId="0" borderId="8" xfId="0" applyNumberFormat="1" applyFont="1" applyBorder="1" applyAlignment="1">
      <alignment horizontal="center" wrapText="1"/>
    </xf>
    <xf numFmtId="0" fontId="6" fillId="0" borderId="14" xfId="0" applyFont="1" applyBorder="1" applyAlignment="1">
      <alignment vertical="top" wrapText="1"/>
    </xf>
    <xf numFmtId="166" fontId="3" fillId="0" borderId="9" xfId="0" applyNumberFormat="1" applyFont="1" applyBorder="1" applyAlignment="1">
      <alignment horizontal="right" wrapText="1"/>
    </xf>
    <xf numFmtId="167" fontId="3" fillId="0" borderId="8" xfId="0" applyNumberFormat="1" applyFont="1" applyBorder="1" applyAlignment="1">
      <alignment horizontal="right" wrapText="1"/>
    </xf>
    <xf numFmtId="0" fontId="6" fillId="0" borderId="0" xfId="0" applyFont="1" applyBorder="1" applyAlignment="1">
      <alignment vertical="center" wrapText="1"/>
    </xf>
    <xf numFmtId="0" fontId="9" fillId="0" borderId="0" xfId="4"/>
    <xf numFmtId="0" fontId="9" fillId="0" borderId="0" xfId="6"/>
    <xf numFmtId="173" fontId="9" fillId="0" borderId="0" xfId="6" applyNumberFormat="1"/>
    <xf numFmtId="4" fontId="3" fillId="0" borderId="8" xfId="0" applyNumberFormat="1" applyFont="1" applyFill="1" applyBorder="1" applyAlignment="1">
      <alignment horizontal="center" wrapText="1"/>
    </xf>
    <xf numFmtId="4" fontId="3" fillId="0" borderId="8" xfId="0" applyNumberFormat="1" applyFont="1" applyFill="1" applyBorder="1" applyAlignment="1">
      <alignment horizontal="right" wrapText="1"/>
    </xf>
    <xf numFmtId="4" fontId="3" fillId="0" borderId="9" xfId="0" applyNumberFormat="1" applyFont="1" applyFill="1" applyBorder="1" applyAlignment="1">
      <alignment horizontal="center" wrapText="1"/>
    </xf>
    <xf numFmtId="0" fontId="3" fillId="0" borderId="0" xfId="0" applyFont="1" applyBorder="1" applyAlignment="1">
      <alignment vertical="center" wrapText="1"/>
    </xf>
    <xf numFmtId="165" fontId="5" fillId="0" borderId="8" xfId="0" applyNumberFormat="1" applyFont="1" applyFill="1" applyBorder="1" applyAlignment="1">
      <alignment horizontal="right" wrapText="1"/>
    </xf>
    <xf numFmtId="4" fontId="5" fillId="0" borderId="8" xfId="0" applyNumberFormat="1" applyFont="1" applyFill="1" applyBorder="1" applyAlignment="1">
      <alignment horizontal="right" wrapText="1"/>
    </xf>
    <xf numFmtId="165" fontId="3" fillId="0" borderId="8" xfId="0" applyNumberFormat="1" applyFont="1" applyFill="1" applyBorder="1" applyAlignment="1">
      <alignment horizontal="right" wrapText="1"/>
    </xf>
    <xf numFmtId="172" fontId="6" fillId="0" borderId="0" xfId="0" applyNumberFormat="1" applyFont="1" applyBorder="1" applyAlignment="1">
      <alignment vertical="center" wrapText="1"/>
    </xf>
    <xf numFmtId="0" fontId="9" fillId="0" borderId="20" xfId="0" applyFont="1" applyBorder="1" applyAlignment="1">
      <alignment vertical="top"/>
    </xf>
    <xf numFmtId="165" fontId="6" fillId="0" borderId="8" xfId="0" applyNumberFormat="1" applyFont="1" applyFill="1" applyBorder="1" applyAlignment="1">
      <alignment horizontal="right" wrapText="1"/>
    </xf>
    <xf numFmtId="166" fontId="6" fillId="0" borderId="12" xfId="0" applyNumberFormat="1" applyFont="1" applyFill="1" applyBorder="1" applyAlignment="1">
      <alignment horizontal="right" wrapText="1"/>
    </xf>
    <xf numFmtId="165" fontId="6" fillId="0" borderId="8" xfId="0" applyNumberFormat="1" applyFont="1" applyFill="1" applyBorder="1" applyAlignment="1">
      <alignment horizontal="center" wrapText="1"/>
    </xf>
    <xf numFmtId="166" fontId="6" fillId="0" borderId="21" xfId="0" applyNumberFormat="1" applyFont="1" applyFill="1" applyBorder="1" applyAlignment="1">
      <alignment horizontal="right" wrapText="1"/>
    </xf>
    <xf numFmtId="166" fontId="5" fillId="0" borderId="8" xfId="0" applyNumberFormat="1" applyFont="1" applyFill="1" applyBorder="1" applyAlignment="1">
      <alignment horizontal="right" wrapText="1"/>
    </xf>
    <xf numFmtId="0" fontId="2" fillId="0" borderId="19" xfId="0" applyFont="1" applyBorder="1" applyAlignment="1">
      <alignment horizontal="left" vertical="center" wrapText="1"/>
    </xf>
    <xf numFmtId="0" fontId="6" fillId="0" borderId="0" xfId="0" applyFont="1" applyBorder="1" applyAlignment="1">
      <alignment horizontal="center" vertical="center" wrapText="1"/>
    </xf>
    <xf numFmtId="0" fontId="6" fillId="0" borderId="0" xfId="0" applyFont="1" applyBorder="1" applyAlignment="1">
      <alignment horizontal="left" vertical="center" wrapText="1"/>
    </xf>
    <xf numFmtId="0" fontId="6" fillId="0" borderId="0" xfId="0" applyFont="1" applyBorder="1" applyAlignment="1">
      <alignment vertical="top" wrapText="1"/>
    </xf>
    <xf numFmtId="165" fontId="0" fillId="0" borderId="0" xfId="0" applyNumberFormat="1"/>
    <xf numFmtId="3" fontId="0" fillId="0" borderId="0" xfId="0" applyNumberFormat="1"/>
    <xf numFmtId="0" fontId="3" fillId="0" borderId="23" xfId="0" applyFont="1" applyBorder="1" applyAlignment="1">
      <alignment horizontal="center" vertical="center" wrapText="1"/>
    </xf>
    <xf numFmtId="0" fontId="4" fillId="0" borderId="21"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0" xfId="0" applyFont="1" applyBorder="1" applyAlignment="1">
      <alignment horizontal="center" vertical="center" wrapText="1"/>
    </xf>
    <xf numFmtId="164" fontId="3" fillId="0" borderId="17" xfId="1" applyNumberFormat="1" applyFont="1" applyBorder="1" applyAlignment="1">
      <alignment horizontal="right" vertical="center" wrapText="1" indent="1"/>
    </xf>
    <xf numFmtId="165" fontId="3" fillId="0" borderId="22" xfId="0" applyNumberFormat="1" applyFont="1" applyBorder="1" applyAlignment="1">
      <alignment horizontal="right" wrapText="1"/>
    </xf>
    <xf numFmtId="165" fontId="3" fillId="0" borderId="22" xfId="0" applyNumberFormat="1" applyFont="1" applyBorder="1" applyAlignment="1">
      <alignment horizontal="center" vertical="center" wrapText="1"/>
    </xf>
    <xf numFmtId="0" fontId="0" fillId="0" borderId="22" xfId="0" applyBorder="1"/>
    <xf numFmtId="0" fontId="0" fillId="0" borderId="18" xfId="0" applyBorder="1"/>
    <xf numFmtId="14" fontId="3" fillId="0" borderId="0" xfId="0" applyNumberFormat="1" applyFont="1" applyBorder="1" applyAlignment="1" applyProtection="1">
      <alignment horizontal="left" vertical="center" wrapText="1"/>
      <protection locked="0"/>
    </xf>
    <xf numFmtId="0" fontId="0" fillId="0" borderId="19" xfId="0" applyBorder="1"/>
    <xf numFmtId="165" fontId="6" fillId="0" borderId="0" xfId="0" applyNumberFormat="1" applyFont="1" applyBorder="1" applyAlignment="1">
      <alignment horizontal="center" vertical="top" wrapText="1"/>
    </xf>
    <xf numFmtId="0" fontId="3" fillId="0" borderId="0" xfId="0" applyFont="1" applyBorder="1" applyAlignment="1">
      <alignment horizontal="left" vertical="center" wrapText="1"/>
    </xf>
    <xf numFmtId="0" fontId="0" fillId="0" borderId="0" xfId="0" applyAlignment="1">
      <alignment vertical="top"/>
    </xf>
    <xf numFmtId="0" fontId="0" fillId="0" borderId="0" xfId="0" applyBorder="1" applyAlignment="1">
      <alignment vertical="top"/>
    </xf>
    <xf numFmtId="0" fontId="2" fillId="0" borderId="2" xfId="0" applyFont="1" applyBorder="1" applyAlignment="1">
      <alignment horizontal="center" vertical="top" wrapText="1"/>
    </xf>
    <xf numFmtId="3" fontId="6" fillId="0" borderId="8" xfId="0" applyNumberFormat="1" applyFont="1" applyBorder="1" applyAlignment="1">
      <alignment horizontal="right" vertical="center" wrapText="1"/>
    </xf>
    <xf numFmtId="171" fontId="5" fillId="0" borderId="8" xfId="2" applyNumberFormat="1" applyFont="1" applyBorder="1" applyAlignment="1">
      <alignment horizontal="right" wrapText="1"/>
    </xf>
    <xf numFmtId="164" fontId="3" fillId="0" borderId="22" xfId="1" applyNumberFormat="1" applyFont="1" applyBorder="1" applyAlignment="1">
      <alignment horizontal="right" vertical="center" wrapText="1" indent="1"/>
    </xf>
    <xf numFmtId="165" fontId="3" fillId="0" borderId="18" xfId="0" applyNumberFormat="1" applyFont="1" applyBorder="1" applyAlignment="1">
      <alignment horizontal="center" vertical="center" wrapText="1"/>
    </xf>
    <xf numFmtId="14" fontId="3" fillId="0" borderId="0" xfId="0" applyNumberFormat="1" applyFont="1" applyBorder="1" applyAlignment="1" applyProtection="1">
      <alignment horizontal="left" vertical="center" wrapText="1"/>
      <protection locked="0"/>
    </xf>
    <xf numFmtId="0" fontId="2" fillId="0" borderId="14" xfId="0" applyFont="1" applyBorder="1" applyAlignment="1">
      <alignment horizontal="center" vertical="top" wrapText="1"/>
    </xf>
    <xf numFmtId="3" fontId="3" fillId="0" borderId="8" xfId="0" applyNumberFormat="1" applyFont="1" applyBorder="1" applyAlignment="1">
      <alignment horizontal="center" vertical="center" wrapText="1"/>
    </xf>
    <xf numFmtId="3" fontId="3" fillId="0" borderId="8" xfId="0" applyNumberFormat="1" applyFont="1" applyBorder="1" applyAlignment="1">
      <alignment horizontal="right" vertical="center" wrapText="1"/>
    </xf>
    <xf numFmtId="0" fontId="6" fillId="0" borderId="0" xfId="0" applyFont="1" applyBorder="1" applyAlignment="1" applyProtection="1">
      <alignment horizontal="center" vertical="top" wrapText="1"/>
      <protection locked="0"/>
    </xf>
    <xf numFmtId="0" fontId="6" fillId="0" borderId="20" xfId="0" applyFont="1" applyBorder="1" applyAlignment="1" applyProtection="1">
      <alignment horizontal="left" vertical="top" wrapText="1"/>
      <protection locked="0"/>
    </xf>
    <xf numFmtId="0" fontId="9" fillId="0" borderId="0" xfId="0" applyFont="1" applyAlignment="1" applyProtection="1">
      <alignment vertical="top"/>
      <protection locked="0"/>
    </xf>
    <xf numFmtId="0" fontId="6" fillId="0" borderId="0" xfId="0" applyFont="1" applyBorder="1" applyAlignment="1" applyProtection="1">
      <alignment horizontal="left" vertical="top" wrapText="1"/>
      <protection locked="0"/>
    </xf>
    <xf numFmtId="0" fontId="2" fillId="0" borderId="0" xfId="0" applyFont="1" applyBorder="1" applyAlignment="1" applyProtection="1">
      <alignment horizontal="center" vertical="center" wrapText="1"/>
      <protection locked="0"/>
    </xf>
    <xf numFmtId="0" fontId="0" fillId="0" borderId="0" xfId="0" applyProtection="1">
      <protection locked="0"/>
    </xf>
    <xf numFmtId="0" fontId="2" fillId="0" borderId="2" xfId="0" applyFont="1" applyBorder="1" applyAlignment="1" applyProtection="1">
      <alignment horizontal="center" vertical="top" wrapText="1"/>
      <protection locked="0"/>
    </xf>
    <xf numFmtId="0" fontId="3" fillId="0" borderId="5" xfId="0" applyFont="1" applyBorder="1" applyAlignment="1" applyProtection="1">
      <alignment horizontal="center" vertical="center" wrapText="1"/>
      <protection locked="0"/>
    </xf>
    <xf numFmtId="0" fontId="3" fillId="0" borderId="23"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11" xfId="0" applyFont="1" applyBorder="1" applyAlignment="1" applyProtection="1">
      <alignment horizontal="center" vertical="center" wrapText="1"/>
      <protection locked="0"/>
    </xf>
    <xf numFmtId="0" fontId="4" fillId="0" borderId="21" xfId="0" applyFont="1" applyBorder="1" applyAlignment="1" applyProtection="1">
      <alignment horizontal="center" vertical="center" wrapText="1"/>
      <protection locked="0"/>
    </xf>
    <xf numFmtId="0" fontId="3" fillId="0" borderId="21" xfId="0" applyFont="1" applyBorder="1" applyAlignment="1" applyProtection="1">
      <alignment horizontal="center" vertical="center" wrapText="1"/>
      <protection locked="0"/>
    </xf>
    <xf numFmtId="0" fontId="3" fillId="0" borderId="9" xfId="0" applyFont="1" applyBorder="1" applyAlignment="1" applyProtection="1">
      <alignment horizontal="center" vertical="center" wrapText="1"/>
      <protection locked="0"/>
    </xf>
    <xf numFmtId="0" fontId="3" fillId="0" borderId="14" xfId="0" applyFont="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3" fillId="0" borderId="12" xfId="0" applyFont="1" applyBorder="1" applyAlignment="1" applyProtection="1">
      <alignment horizontal="center" vertical="center" wrapText="1"/>
      <protection locked="0"/>
    </xf>
    <xf numFmtId="0" fontId="3" fillId="0" borderId="13" xfId="0" applyFont="1" applyBorder="1" applyAlignment="1" applyProtection="1">
      <alignment horizontal="center" vertical="center" wrapText="1"/>
      <protection locked="0"/>
    </xf>
    <xf numFmtId="0" fontId="4" fillId="0" borderId="15" xfId="0" applyFont="1" applyBorder="1" applyAlignment="1" applyProtection="1">
      <alignment horizontal="center" vertical="center" wrapText="1"/>
      <protection locked="0"/>
    </xf>
    <xf numFmtId="0" fontId="3" fillId="0" borderId="15" xfId="0" applyFont="1" applyBorder="1" applyAlignment="1" applyProtection="1">
      <alignment horizontal="center" vertical="center" wrapText="1"/>
      <protection locked="0"/>
    </xf>
    <xf numFmtId="164" fontId="3" fillId="0" borderId="0" xfId="1" applyNumberFormat="1" applyFont="1" applyBorder="1" applyAlignment="1" applyProtection="1">
      <alignment horizontal="right" wrapText="1" indent="1"/>
      <protection locked="0"/>
    </xf>
    <xf numFmtId="3" fontId="3" fillId="0" borderId="8" xfId="0" applyNumberFormat="1" applyFont="1" applyBorder="1" applyAlignment="1" applyProtection="1">
      <alignment horizontal="right" wrapText="1"/>
      <protection locked="0"/>
    </xf>
    <xf numFmtId="164" fontId="3" fillId="0" borderId="22" xfId="1" applyNumberFormat="1" applyFont="1" applyBorder="1" applyAlignment="1" applyProtection="1">
      <alignment horizontal="right" vertical="center" wrapText="1" indent="1"/>
      <protection locked="0"/>
    </xf>
    <xf numFmtId="165" fontId="3" fillId="0" borderId="22" xfId="0" applyNumberFormat="1" applyFont="1" applyBorder="1" applyAlignment="1" applyProtection="1">
      <alignment horizontal="right" wrapText="1"/>
      <protection locked="0"/>
    </xf>
    <xf numFmtId="0" fontId="0" fillId="0" borderId="22" xfId="0" applyBorder="1" applyProtection="1">
      <protection locked="0"/>
    </xf>
    <xf numFmtId="0" fontId="3" fillId="0" borderId="0" xfId="0" applyFont="1" applyBorder="1" applyAlignment="1" applyProtection="1">
      <alignment vertical="center" wrapText="1"/>
      <protection locked="0"/>
    </xf>
    <xf numFmtId="0" fontId="3" fillId="0" borderId="14" xfId="0" applyFont="1" applyBorder="1" applyAlignment="1" applyProtection="1">
      <alignment horizontal="left" vertical="top" wrapText="1"/>
      <protection locked="0"/>
    </xf>
    <xf numFmtId="0" fontId="7" fillId="0" borderId="0" xfId="0" applyFont="1" applyAlignment="1" applyProtection="1">
      <alignment vertical="center"/>
      <protection locked="0"/>
    </xf>
    <xf numFmtId="0" fontId="2" fillId="0" borderId="19" xfId="0" applyFont="1" applyBorder="1" applyAlignment="1" applyProtection="1">
      <alignment horizontal="left" vertical="center" wrapText="1"/>
      <protection locked="0"/>
    </xf>
    <xf numFmtId="0" fontId="7" fillId="0" borderId="19" xfId="0" applyFont="1" applyBorder="1" applyAlignment="1" applyProtection="1">
      <alignment vertical="center"/>
      <protection locked="0"/>
    </xf>
    <xf numFmtId="0" fontId="11" fillId="0" borderId="0" xfId="0" applyFont="1" applyFill="1" applyBorder="1" applyAlignment="1" applyProtection="1">
      <alignment horizontal="left" vertical="top" wrapText="1"/>
      <protection locked="0"/>
    </xf>
    <xf numFmtId="0" fontId="0" fillId="0" borderId="0" xfId="0" applyAlignment="1" applyProtection="1">
      <alignment vertical="top"/>
      <protection locked="0"/>
    </xf>
    <xf numFmtId="0" fontId="0" fillId="0" borderId="0" xfId="0" applyBorder="1" applyAlignment="1" applyProtection="1">
      <alignment vertical="top"/>
      <protection locked="0"/>
    </xf>
    <xf numFmtId="0" fontId="0" fillId="0" borderId="0" xfId="0" applyBorder="1" applyProtection="1">
      <protection locked="0"/>
    </xf>
    <xf numFmtId="166" fontId="3" fillId="0" borderId="8" xfId="0" applyNumberFormat="1" applyFont="1" applyBorder="1" applyAlignment="1" applyProtection="1">
      <alignment horizontal="right" wrapText="1"/>
      <protection locked="0"/>
    </xf>
    <xf numFmtId="166" fontId="3" fillId="0" borderId="8" xfId="0" applyNumberFormat="1" applyFont="1" applyBorder="1" applyAlignment="1">
      <alignment horizontal="right" vertical="center" wrapText="1"/>
    </xf>
    <xf numFmtId="171" fontId="3" fillId="0" borderId="8" xfId="2" applyNumberFormat="1" applyFont="1" applyBorder="1" applyAlignment="1">
      <alignment horizontal="center" wrapText="1"/>
    </xf>
    <xf numFmtId="164" fontId="3" fillId="0" borderId="17" xfId="1" applyNumberFormat="1" applyFont="1" applyBorder="1" applyAlignment="1" applyProtection="1">
      <alignment horizontal="right" vertical="center" wrapText="1" indent="1"/>
      <protection locked="0"/>
    </xf>
    <xf numFmtId="165" fontId="3" fillId="0" borderId="18" xfId="0" applyNumberFormat="1" applyFont="1" applyBorder="1" applyAlignment="1" applyProtection="1">
      <alignment horizontal="center" vertical="center" wrapText="1"/>
      <protection locked="0"/>
    </xf>
    <xf numFmtId="165" fontId="3" fillId="0" borderId="19" xfId="0" applyNumberFormat="1" applyFont="1" applyBorder="1" applyAlignment="1" applyProtection="1">
      <alignment horizontal="center" vertical="center" wrapText="1"/>
      <protection locked="0"/>
    </xf>
    <xf numFmtId="165" fontId="3" fillId="0" borderId="17" xfId="0" applyNumberFormat="1" applyFont="1" applyBorder="1" applyAlignment="1" applyProtection="1">
      <alignment horizontal="center" vertical="center" wrapText="1"/>
      <protection locked="0"/>
    </xf>
    <xf numFmtId="0" fontId="3" fillId="0" borderId="14" xfId="0" applyFont="1" applyBorder="1" applyAlignment="1" applyProtection="1">
      <alignment horizontal="left" vertical="center" wrapText="1"/>
      <protection locked="0"/>
    </xf>
    <xf numFmtId="0" fontId="9" fillId="0" borderId="0" xfId="0" applyFont="1" applyBorder="1" applyAlignment="1" applyProtection="1">
      <alignment vertical="top"/>
      <protection locked="0"/>
    </xf>
    <xf numFmtId="0" fontId="2" fillId="0" borderId="0" xfId="0" applyFont="1" applyBorder="1" applyAlignment="1" applyProtection="1">
      <alignment vertical="center" wrapText="1"/>
      <protection locked="0"/>
    </xf>
    <xf numFmtId="0" fontId="2" fillId="0" borderId="2" xfId="0" applyFont="1" applyBorder="1" applyAlignment="1" applyProtection="1">
      <alignment vertical="top" wrapText="1"/>
      <protection locked="0"/>
    </xf>
    <xf numFmtId="0" fontId="3" fillId="0" borderId="18" xfId="0" applyFont="1" applyBorder="1" applyAlignment="1" applyProtection="1">
      <alignment horizontal="center" vertical="center" wrapText="1"/>
      <protection locked="0"/>
    </xf>
    <xf numFmtId="0" fontId="3" fillId="0" borderId="19" xfId="0" applyFont="1" applyBorder="1" applyAlignment="1" applyProtection="1">
      <alignment horizontal="center" vertical="center" wrapText="1"/>
      <protection locked="0"/>
    </xf>
    <xf numFmtId="0" fontId="3" fillId="0" borderId="17" xfId="0" applyFont="1" applyBorder="1" applyAlignment="1" applyProtection="1">
      <alignment horizontal="center" vertical="center" wrapText="1"/>
      <protection locked="0"/>
    </xf>
    <xf numFmtId="0" fontId="3" fillId="0" borderId="15" xfId="0" applyFont="1" applyBorder="1" applyAlignment="1" applyProtection="1">
      <alignment horizontal="center" vertical="center" wrapText="1"/>
      <protection locked="0"/>
    </xf>
    <xf numFmtId="0" fontId="3" fillId="0" borderId="9" xfId="0" applyFont="1" applyBorder="1" applyAlignment="1" applyProtection="1">
      <alignment horizontal="center" vertical="center" wrapText="1"/>
      <protection locked="0"/>
    </xf>
    <xf numFmtId="3" fontId="5" fillId="0" borderId="8" xfId="0" applyNumberFormat="1" applyFont="1" applyBorder="1" applyAlignment="1" applyProtection="1">
      <alignment horizontal="right" wrapText="1"/>
      <protection locked="0"/>
    </xf>
    <xf numFmtId="165" fontId="3" fillId="0" borderId="22" xfId="0" applyNumberFormat="1" applyFont="1" applyBorder="1" applyAlignment="1" applyProtection="1">
      <alignment horizontal="center" vertical="center" wrapText="1"/>
      <protection locked="0"/>
    </xf>
    <xf numFmtId="14" fontId="3" fillId="0" borderId="20" xfId="0" applyNumberFormat="1" applyFont="1" applyBorder="1" applyAlignment="1" applyProtection="1">
      <alignment vertical="center" wrapText="1"/>
      <protection locked="0"/>
    </xf>
    <xf numFmtId="3" fontId="0" fillId="0" borderId="0" xfId="0" applyNumberFormat="1" applyProtection="1">
      <protection locked="0"/>
    </xf>
    <xf numFmtId="0" fontId="3" fillId="0" borderId="20" xfId="0" applyFont="1" applyBorder="1" applyAlignment="1">
      <alignment horizontal="left" vertical="top" wrapText="1"/>
    </xf>
    <xf numFmtId="0" fontId="2" fillId="0" borderId="19" xfId="0" applyFont="1" applyBorder="1" applyAlignment="1">
      <alignment vertical="center" wrapText="1"/>
    </xf>
    <xf numFmtId="174" fontId="3" fillId="0" borderId="8" xfId="0" applyNumberFormat="1" applyFont="1" applyBorder="1" applyAlignment="1" applyProtection="1">
      <alignment horizontal="right" wrapText="1"/>
      <protection locked="0"/>
    </xf>
    <xf numFmtId="0" fontId="6" fillId="0" borderId="20" xfId="0" applyFont="1" applyBorder="1" applyAlignment="1">
      <alignment horizontal="left" vertical="top" wrapText="1"/>
    </xf>
    <xf numFmtId="0" fontId="2" fillId="0" borderId="0" xfId="0" applyFont="1" applyBorder="1" applyAlignment="1">
      <alignment vertical="center" wrapText="1"/>
    </xf>
    <xf numFmtId="165" fontId="3" fillId="0" borderId="8" xfId="0" applyNumberFormat="1" applyFont="1" applyBorder="1" applyAlignment="1" applyProtection="1">
      <alignment horizontal="right" wrapText="1"/>
      <protection locked="0"/>
    </xf>
    <xf numFmtId="165" fontId="3" fillId="0" borderId="12" xfId="0" applyNumberFormat="1" applyFont="1" applyBorder="1" applyAlignment="1">
      <alignment horizontal="right" wrapText="1"/>
    </xf>
    <xf numFmtId="171" fontId="3" fillId="0" borderId="0" xfId="2" applyNumberFormat="1" applyFont="1" applyBorder="1" applyAlignment="1" applyProtection="1">
      <alignment horizontal="right" wrapText="1"/>
      <protection locked="0"/>
    </xf>
    <xf numFmtId="3" fontId="3" fillId="0" borderId="0" xfId="0" applyNumberFormat="1" applyFont="1" applyBorder="1" applyAlignment="1" applyProtection="1">
      <alignment horizontal="right" wrapText="1"/>
      <protection locked="0"/>
    </xf>
    <xf numFmtId="174" fontId="3" fillId="0" borderId="0" xfId="0" applyNumberFormat="1" applyFont="1" applyBorder="1" applyAlignment="1" applyProtection="1">
      <alignment horizontal="right" wrapText="1"/>
      <protection locked="0"/>
    </xf>
    <xf numFmtId="3" fontId="3" fillId="0" borderId="0" xfId="0" applyNumberFormat="1" applyFont="1" applyBorder="1" applyAlignment="1">
      <alignment horizontal="right" wrapText="1"/>
    </xf>
    <xf numFmtId="165" fontId="3" fillId="0" borderId="21" xfId="0" applyNumberFormat="1" applyFont="1" applyBorder="1" applyAlignment="1">
      <alignment horizontal="right" wrapText="1"/>
    </xf>
    <xf numFmtId="171" fontId="3" fillId="0" borderId="8" xfId="2" applyNumberFormat="1" applyFont="1" applyBorder="1" applyAlignment="1" applyProtection="1">
      <alignment horizontal="right" wrapText="1"/>
      <protection locked="0"/>
    </xf>
    <xf numFmtId="0" fontId="7" fillId="0" borderId="0" xfId="0" applyFont="1" applyBorder="1" applyAlignment="1" applyProtection="1">
      <alignment vertical="center"/>
      <protection locked="0"/>
    </xf>
    <xf numFmtId="0" fontId="6" fillId="0" borderId="20" xfId="0" applyFont="1" applyBorder="1" applyAlignment="1">
      <alignment vertical="top" wrapText="1"/>
    </xf>
    <xf numFmtId="0" fontId="6" fillId="0" borderId="0" xfId="0" applyFont="1" applyBorder="1" applyAlignment="1">
      <alignment horizontal="left" vertical="top" wrapText="1"/>
    </xf>
    <xf numFmtId="0" fontId="2" fillId="0" borderId="0" xfId="0" applyFont="1" applyFill="1" applyBorder="1" applyAlignment="1">
      <alignment horizontal="center" vertical="top" wrapText="1"/>
    </xf>
    <xf numFmtId="0" fontId="0" fillId="0" borderId="19" xfId="0" applyBorder="1" applyAlignment="1">
      <alignment horizontal="center" vertical="center" wrapText="1"/>
    </xf>
    <xf numFmtId="0" fontId="0" fillId="0" borderId="0" xfId="0" applyAlignment="1">
      <alignment vertical="center"/>
    </xf>
    <xf numFmtId="0" fontId="0" fillId="0" borderId="7" xfId="0" applyBorder="1" applyAlignment="1">
      <alignment horizontal="center" vertical="center" wrapText="1"/>
    </xf>
    <xf numFmtId="3" fontId="5" fillId="0" borderId="8" xfId="0" applyNumberFormat="1" applyFont="1" applyFill="1" applyBorder="1" applyAlignment="1">
      <alignment horizontal="right" wrapText="1"/>
    </xf>
    <xf numFmtId="165" fontId="3" fillId="0" borderId="21" xfId="0" applyNumberFormat="1" applyFont="1" applyFill="1" applyBorder="1" applyAlignment="1">
      <alignment horizontal="right" wrapText="1"/>
    </xf>
    <xf numFmtId="3" fontId="5" fillId="0" borderId="21" xfId="0" applyNumberFormat="1" applyFont="1" applyFill="1" applyBorder="1" applyAlignment="1">
      <alignment horizontal="right" wrapText="1"/>
    </xf>
    <xf numFmtId="3" fontId="5" fillId="0" borderId="13" xfId="0" applyNumberFormat="1" applyFont="1" applyFill="1" applyBorder="1" applyAlignment="1">
      <alignment horizontal="right" wrapText="1"/>
    </xf>
    <xf numFmtId="3" fontId="3" fillId="0" borderId="8" xfId="0" applyNumberFormat="1" applyFont="1" applyFill="1" applyBorder="1" applyAlignment="1">
      <alignment horizontal="right" wrapText="1"/>
    </xf>
    <xf numFmtId="3" fontId="3" fillId="0" borderId="21" xfId="0" applyNumberFormat="1" applyFont="1" applyFill="1" applyBorder="1" applyAlignment="1">
      <alignment horizontal="right" wrapText="1"/>
    </xf>
    <xf numFmtId="165" fontId="5" fillId="0" borderId="21" xfId="0" applyNumberFormat="1" applyFont="1" applyFill="1" applyBorder="1" applyAlignment="1">
      <alignment horizontal="right" wrapText="1"/>
    </xf>
    <xf numFmtId="165" fontId="2" fillId="0" borderId="8" xfId="0" applyNumberFormat="1" applyFont="1" applyFill="1" applyBorder="1" applyAlignment="1">
      <alignment horizontal="right" wrapText="1"/>
    </xf>
    <xf numFmtId="3" fontId="5" fillId="0" borderId="15" xfId="0" applyNumberFormat="1" applyFont="1" applyFill="1" applyBorder="1" applyAlignment="1">
      <alignment horizontal="right" wrapText="1"/>
    </xf>
    <xf numFmtId="3" fontId="5" fillId="0" borderId="9" xfId="0" applyNumberFormat="1" applyFont="1" applyFill="1" applyBorder="1" applyAlignment="1">
      <alignment horizontal="right" wrapText="1"/>
    </xf>
    <xf numFmtId="0" fontId="2" fillId="0" borderId="0" xfId="0" applyFont="1" applyBorder="1" applyAlignment="1">
      <alignment horizontal="left" vertical="center" wrapText="1"/>
    </xf>
    <xf numFmtId="0" fontId="0" fillId="0" borderId="0" xfId="0" applyBorder="1" applyAlignment="1">
      <alignment vertical="top" wrapText="1"/>
    </xf>
    <xf numFmtId="3" fontId="3" fillId="0" borderId="15" xfId="0" applyNumberFormat="1" applyFont="1" applyBorder="1" applyAlignment="1">
      <alignment horizontal="right" wrapText="1"/>
    </xf>
    <xf numFmtId="0" fontId="3" fillId="0" borderId="0" xfId="0" applyFont="1" applyBorder="1" applyAlignment="1">
      <alignment horizontal="center" vertical="top" wrapText="1"/>
    </xf>
    <xf numFmtId="0" fontId="0" fillId="0" borderId="20" xfId="0" applyBorder="1" applyAlignment="1">
      <alignment vertical="top" wrapText="1"/>
    </xf>
    <xf numFmtId="3" fontId="14" fillId="0" borderId="0" xfId="7" applyNumberFormat="1" applyFont="1" applyAlignment="1"/>
    <xf numFmtId="0" fontId="7" fillId="0" borderId="14" xfId="0" applyFont="1" applyBorder="1" applyAlignment="1">
      <alignment vertical="top"/>
    </xf>
    <xf numFmtId="0" fontId="6" fillId="0" borderId="14" xfId="0" applyFont="1" applyBorder="1" applyAlignment="1">
      <alignment horizontal="left" vertical="top" wrapText="1"/>
    </xf>
    <xf numFmtId="0" fontId="2" fillId="0" borderId="0"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9" xfId="0" applyFont="1" applyBorder="1" applyAlignment="1">
      <alignment vertical="center" wrapText="1"/>
    </xf>
    <xf numFmtId="0" fontId="3" fillId="0" borderId="14"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2" xfId="0" applyFont="1" applyBorder="1" applyAlignment="1">
      <alignment horizontal="center" vertical="center" wrapText="1"/>
    </xf>
    <xf numFmtId="164" fontId="3" fillId="0" borderId="21" xfId="1" applyNumberFormat="1" applyFont="1" applyBorder="1" applyAlignment="1">
      <alignment horizontal="center" wrapText="1"/>
    </xf>
    <xf numFmtId="171" fontId="6" fillId="0" borderId="21" xfId="2" applyNumberFormat="1" applyFont="1" applyBorder="1" applyAlignment="1">
      <alignment horizontal="center" vertical="top" wrapText="1"/>
    </xf>
    <xf numFmtId="171" fontId="5" fillId="0" borderId="0" xfId="2" applyNumberFormat="1" applyFont="1" applyBorder="1" applyAlignment="1">
      <alignment horizontal="right" vertical="top" wrapText="1"/>
    </xf>
    <xf numFmtId="164" fontId="3" fillId="0" borderId="12" xfId="0" applyNumberFormat="1" applyFont="1" applyBorder="1" applyAlignment="1">
      <alignment horizontal="right" vertical="center" wrapText="1"/>
    </xf>
    <xf numFmtId="164" fontId="5" fillId="0" borderId="8" xfId="0" applyNumberFormat="1" applyFont="1" applyBorder="1" applyAlignment="1">
      <alignment wrapText="1"/>
    </xf>
    <xf numFmtId="0" fontId="3" fillId="0" borderId="11" xfId="0" applyFont="1" applyBorder="1" applyAlignment="1">
      <alignment horizontal="center" vertical="center" wrapText="1"/>
    </xf>
    <xf numFmtId="0" fontId="3" fillId="0" borderId="21" xfId="0" applyFont="1" applyBorder="1" applyAlignment="1">
      <alignment horizontal="center" vertical="center" wrapText="1"/>
    </xf>
    <xf numFmtId="164" fontId="3" fillId="0" borderId="21" xfId="1" applyNumberFormat="1" applyFont="1" applyBorder="1" applyAlignment="1">
      <alignment horizontal="right" wrapText="1"/>
    </xf>
    <xf numFmtId="171" fontId="5" fillId="0" borderId="21" xfId="2" applyNumberFormat="1" applyFont="1" applyBorder="1" applyAlignment="1">
      <alignment horizontal="right" vertical="top" wrapText="1"/>
    </xf>
    <xf numFmtId="3" fontId="6" fillId="0" borderId="8" xfId="0" applyNumberFormat="1" applyFont="1" applyBorder="1" applyAlignment="1">
      <alignment wrapText="1"/>
    </xf>
    <xf numFmtId="164" fontId="3" fillId="0" borderId="21" xfId="1" applyNumberFormat="1" applyFont="1" applyBorder="1" applyAlignment="1">
      <alignment wrapText="1"/>
    </xf>
    <xf numFmtId="164" fontId="3" fillId="0" borderId="8" xfId="1" applyNumberFormat="1" applyFont="1" applyBorder="1" applyAlignment="1">
      <alignment horizontal="right" wrapText="1"/>
    </xf>
    <xf numFmtId="0" fontId="3" fillId="0" borderId="20" xfId="0" applyFont="1" applyBorder="1" applyAlignment="1">
      <alignment horizontal="left" vertical="center" wrapText="1"/>
    </xf>
    <xf numFmtId="165" fontId="3" fillId="0" borderId="0" xfId="0" applyNumberFormat="1" applyFont="1" applyBorder="1" applyAlignment="1">
      <alignment horizontal="right" wrapText="1"/>
    </xf>
    <xf numFmtId="165" fontId="5" fillId="0" borderId="0" xfId="0" applyNumberFormat="1" applyFont="1" applyBorder="1" applyAlignment="1">
      <alignment horizontal="right" wrapText="1"/>
    </xf>
    <xf numFmtId="166" fontId="3" fillId="0" borderId="21" xfId="0" applyNumberFormat="1" applyFont="1" applyBorder="1" applyAlignment="1">
      <alignment horizontal="right" wrapText="1"/>
    </xf>
    <xf numFmtId="3" fontId="3" fillId="0" borderId="0" xfId="0" applyNumberFormat="1" applyFont="1" applyBorder="1" applyAlignment="1">
      <alignment horizontal="center" wrapText="1"/>
    </xf>
    <xf numFmtId="166" fontId="3" fillId="0" borderId="15" xfId="0" applyNumberFormat="1" applyFont="1" applyBorder="1" applyAlignment="1">
      <alignment horizontal="right"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175" fontId="3" fillId="0" borderId="8" xfId="1" applyNumberFormat="1" applyFont="1" applyBorder="1" applyAlignment="1">
      <alignment horizontal="center" wrapText="1"/>
    </xf>
    <xf numFmtId="175" fontId="3" fillId="0" borderId="21" xfId="1" applyNumberFormat="1" applyFont="1" applyBorder="1" applyAlignment="1">
      <alignment horizontal="center" wrapText="1"/>
    </xf>
    <xf numFmtId="175" fontId="3" fillId="0" borderId="8" xfId="1" applyNumberFormat="1" applyFont="1" applyBorder="1" applyAlignment="1">
      <alignment horizontal="right" wrapText="1"/>
    </xf>
    <xf numFmtId="175" fontId="3" fillId="0" borderId="21" xfId="1" applyNumberFormat="1" applyFont="1" applyBorder="1" applyAlignment="1">
      <alignment horizontal="right" wrapText="1"/>
    </xf>
    <xf numFmtId="175" fontId="3" fillId="0" borderId="9" xfId="1" applyNumberFormat="1" applyFont="1" applyBorder="1" applyAlignment="1">
      <alignment horizontal="right" wrapText="1"/>
    </xf>
    <xf numFmtId="175" fontId="3" fillId="0" borderId="15" xfId="1" applyNumberFormat="1" applyFont="1" applyBorder="1" applyAlignment="1">
      <alignment horizontal="right" wrapText="1"/>
    </xf>
    <xf numFmtId="164" fontId="3" fillId="0" borderId="17" xfId="1" applyNumberFormat="1" applyFont="1" applyBorder="1" applyAlignment="1">
      <alignment horizontal="center" wrapText="1"/>
    </xf>
    <xf numFmtId="164" fontId="3" fillId="0" borderId="19" xfId="1" applyNumberFormat="1" applyFont="1" applyBorder="1" applyAlignment="1">
      <alignment wrapText="1"/>
    </xf>
    <xf numFmtId="164" fontId="3" fillId="0" borderId="17" xfId="1" applyNumberFormat="1" applyFont="1" applyBorder="1" applyAlignment="1">
      <alignment wrapText="1"/>
    </xf>
    <xf numFmtId="171" fontId="3" fillId="0" borderId="22" xfId="2" applyNumberFormat="1" applyFont="1" applyBorder="1" applyAlignment="1">
      <alignment horizontal="right" wrapText="1"/>
    </xf>
    <xf numFmtId="171" fontId="3" fillId="0" borderId="18" xfId="2" applyNumberFormat="1" applyFont="1" applyBorder="1" applyAlignment="1">
      <alignment horizontal="right" wrapText="1"/>
    </xf>
    <xf numFmtId="0" fontId="9" fillId="0" borderId="0" xfId="0" applyFont="1" applyAlignment="1">
      <alignment vertical="center"/>
    </xf>
    <xf numFmtId="164" fontId="0" fillId="0" borderId="0" xfId="0" applyNumberFormat="1" applyAlignment="1">
      <alignment vertical="top"/>
    </xf>
    <xf numFmtId="0" fontId="6" fillId="0" borderId="22"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9" xfId="0" applyFont="1" applyBorder="1" applyAlignment="1">
      <alignment horizontal="center" vertical="center" wrapText="1"/>
    </xf>
    <xf numFmtId="3" fontId="6" fillId="0" borderId="8" xfId="0" applyNumberFormat="1" applyFont="1" applyFill="1" applyBorder="1" applyAlignment="1">
      <alignment horizontal="center" wrapText="1"/>
    </xf>
    <xf numFmtId="3" fontId="5" fillId="0" borderId="12" xfId="0" applyNumberFormat="1" applyFont="1" applyFill="1" applyBorder="1" applyAlignment="1">
      <alignment horizontal="right" wrapText="1"/>
    </xf>
    <xf numFmtId="171" fontId="5" fillId="0" borderId="16" xfId="2" applyNumberFormat="1" applyFont="1" applyFill="1" applyBorder="1" applyAlignment="1">
      <alignment horizontal="right" wrapText="1"/>
    </xf>
    <xf numFmtId="171" fontId="5" fillId="0" borderId="0" xfId="2" applyNumberFormat="1" applyFont="1" applyFill="1" applyBorder="1" applyAlignment="1">
      <alignment horizontal="right" wrapText="1"/>
    </xf>
    <xf numFmtId="171" fontId="5" fillId="0" borderId="11" xfId="2" applyNumberFormat="1" applyFont="1" applyFill="1" applyBorder="1" applyAlignment="1">
      <alignment horizontal="right" wrapText="1"/>
    </xf>
    <xf numFmtId="3" fontId="6" fillId="0" borderId="8" xfId="0" applyNumberFormat="1" applyFont="1" applyFill="1" applyBorder="1" applyAlignment="1">
      <alignment horizontal="right" wrapText="1"/>
    </xf>
    <xf numFmtId="0" fontId="3" fillId="0" borderId="14" xfId="0" applyFont="1" applyBorder="1" applyAlignment="1">
      <alignment vertical="top" wrapText="1"/>
    </xf>
    <xf numFmtId="0" fontId="2" fillId="0" borderId="0" xfId="0" applyFont="1" applyBorder="1" applyAlignment="1">
      <alignment horizontal="left" vertical="center"/>
    </xf>
    <xf numFmtId="175" fontId="3" fillId="0" borderId="0" xfId="1" applyNumberFormat="1" applyFont="1" applyBorder="1" applyAlignment="1">
      <alignment horizontal="center" wrapText="1"/>
    </xf>
    <xf numFmtId="175" fontId="3" fillId="0" borderId="0" xfId="1" applyNumberFormat="1" applyFont="1" applyBorder="1" applyAlignment="1">
      <alignment horizontal="right" wrapText="1"/>
    </xf>
    <xf numFmtId="3" fontId="3" fillId="0" borderId="9" xfId="0" applyNumberFormat="1" applyFont="1" applyBorder="1" applyAlignment="1">
      <alignment horizontal="right" wrapText="1"/>
    </xf>
    <xf numFmtId="164" fontId="3" fillId="0" borderId="14" xfId="1" applyNumberFormat="1" applyFont="1" applyBorder="1" applyAlignment="1">
      <alignment wrapText="1"/>
    </xf>
    <xf numFmtId="0" fontId="11" fillId="0" borderId="0" xfId="0" applyFont="1" applyFill="1" applyBorder="1" applyAlignment="1">
      <alignment horizontal="left" vertical="top" wrapText="1"/>
    </xf>
    <xf numFmtId="165" fontId="5" fillId="0" borderId="21" xfId="0" applyNumberFormat="1" applyFont="1" applyBorder="1" applyAlignment="1">
      <alignment horizontal="right" wrapText="1"/>
    </xf>
    <xf numFmtId="0" fontId="2" fillId="0" borderId="0" xfId="0" applyFont="1" applyBorder="1" applyAlignment="1">
      <alignment horizontal="left" vertical="center" wrapText="1"/>
    </xf>
    <xf numFmtId="0" fontId="2" fillId="0" borderId="20" xfId="0" applyFont="1" applyBorder="1" applyAlignment="1">
      <alignment horizontal="left" vertical="center" wrapText="1"/>
    </xf>
    <xf numFmtId="0" fontId="7" fillId="0" borderId="20" xfId="0" applyFont="1" applyBorder="1" applyAlignment="1">
      <alignment vertical="center"/>
    </xf>
    <xf numFmtId="165" fontId="3" fillId="0" borderId="21" xfId="0" applyNumberFormat="1" applyFont="1" applyBorder="1" applyAlignment="1">
      <alignment horizontal="center" wrapText="1"/>
    </xf>
    <xf numFmtId="174" fontId="3" fillId="0" borderId="8" xfId="0" applyNumberFormat="1" applyFont="1" applyBorder="1" applyAlignment="1">
      <alignment horizontal="right" wrapText="1"/>
    </xf>
    <xf numFmtId="0" fontId="3" fillId="0" borderId="18" xfId="0" applyFont="1" applyBorder="1" applyAlignment="1">
      <alignment vertical="center" wrapText="1"/>
    </xf>
    <xf numFmtId="0" fontId="3" fillId="0" borderId="17" xfId="0" applyFont="1" applyBorder="1" applyAlignment="1">
      <alignment vertical="center" wrapText="1"/>
    </xf>
    <xf numFmtId="0" fontId="6" fillId="0" borderId="0" xfId="0" applyFont="1" applyFill="1" applyBorder="1" applyAlignment="1">
      <alignment horizontal="left" vertical="top" wrapText="1"/>
    </xf>
    <xf numFmtId="49" fontId="3" fillId="0" borderId="0" xfId="1" applyNumberFormat="1" applyFont="1" applyBorder="1" applyAlignment="1">
      <alignment horizontal="left" wrapText="1" indent="1"/>
    </xf>
    <xf numFmtId="49" fontId="3" fillId="0" borderId="11" xfId="1" applyNumberFormat="1" applyFont="1" applyBorder="1" applyAlignment="1">
      <alignment horizontal="left" wrapText="1" indent="1"/>
    </xf>
    <xf numFmtId="164" fontId="3" fillId="0" borderId="19" xfId="1" applyNumberFormat="1" applyFont="1" applyBorder="1" applyAlignment="1">
      <alignment horizontal="left" wrapText="1" indent="1"/>
    </xf>
    <xf numFmtId="164" fontId="3" fillId="0" borderId="17" xfId="1" applyNumberFormat="1" applyFont="1" applyBorder="1" applyAlignment="1">
      <alignment horizontal="left" wrapText="1" indent="1"/>
    </xf>
    <xf numFmtId="0" fontId="3" fillId="0" borderId="24" xfId="0" applyFont="1" applyBorder="1" applyAlignment="1">
      <alignment horizontal="center" vertical="center" wrapText="1"/>
    </xf>
    <xf numFmtId="49" fontId="3" fillId="0" borderId="0" xfId="1" applyNumberFormat="1" applyFont="1" applyBorder="1" applyAlignment="1">
      <alignment horizontal="left" wrapText="1" indent="1"/>
    </xf>
    <xf numFmtId="3" fontId="3" fillId="0" borderId="12" xfId="0" applyNumberFormat="1" applyFont="1" applyBorder="1" applyAlignment="1">
      <alignment horizontal="right" wrapText="1"/>
    </xf>
    <xf numFmtId="165" fontId="3" fillId="0" borderId="12" xfId="0" applyNumberFormat="1" applyFont="1" applyBorder="1" applyAlignment="1">
      <alignment horizontal="center" wrapText="1"/>
    </xf>
    <xf numFmtId="171" fontId="3" fillId="0" borderId="15" xfId="2" applyNumberFormat="1" applyFont="1" applyBorder="1" applyAlignment="1">
      <alignment horizontal="right" wrapText="1"/>
    </xf>
    <xf numFmtId="164" fontId="3" fillId="0" borderId="19" xfId="1" applyNumberFormat="1" applyFont="1" applyBorder="1" applyAlignment="1">
      <alignment horizontal="left" wrapText="1" indent="1"/>
    </xf>
  </cellXfs>
  <cellStyles count="61">
    <cellStyle name="Comma" xfId="1" builtinId="3"/>
    <cellStyle name="Comma 2" xfId="8"/>
    <cellStyle name="Comma 3" xfId="9"/>
    <cellStyle name="Currency 2" xfId="10"/>
    <cellStyle name="Hyperlink 2" xfId="11"/>
    <cellStyle name="Hyperlink 3" xfId="12"/>
    <cellStyle name="Hyperlink 4" xfId="13"/>
    <cellStyle name="Hyperlink 5" xfId="14"/>
    <cellStyle name="Normal" xfId="0" builtinId="0"/>
    <cellStyle name="Normal 10" xfId="15"/>
    <cellStyle name="Normal 11" xfId="16"/>
    <cellStyle name="Normal 12" xfId="5"/>
    <cellStyle name="Normal 13" xfId="17"/>
    <cellStyle name="Normal 14" xfId="18"/>
    <cellStyle name="Normal 15" xfId="7"/>
    <cellStyle name="Normal 2" xfId="19"/>
    <cellStyle name="Normal 2 2" xfId="20"/>
    <cellStyle name="Normal 2 2 2" xfId="21"/>
    <cellStyle name="Normal 2 3" xfId="4"/>
    <cellStyle name="Normal 3" xfId="3"/>
    <cellStyle name="Normal 4" xfId="22"/>
    <cellStyle name="Normal 5" xfId="23"/>
    <cellStyle name="Normal 6" xfId="24"/>
    <cellStyle name="Normal 7" xfId="25"/>
    <cellStyle name="Normal 8" xfId="26"/>
    <cellStyle name="Normal 9" xfId="6"/>
    <cellStyle name="Percent" xfId="2" builtinId="5"/>
    <cellStyle name="Percent 2" xfId="27"/>
    <cellStyle name="Percent 3" xfId="28"/>
    <cellStyle name="ss1" xfId="29"/>
    <cellStyle name="ss10" xfId="30"/>
    <cellStyle name="ss11" xfId="31"/>
    <cellStyle name="ss12" xfId="32"/>
    <cellStyle name="ss13" xfId="33"/>
    <cellStyle name="ss14" xfId="34"/>
    <cellStyle name="ss15" xfId="35"/>
    <cellStyle name="ss16" xfId="36"/>
    <cellStyle name="ss17" xfId="37"/>
    <cellStyle name="ss18" xfId="38"/>
    <cellStyle name="ss19" xfId="39"/>
    <cellStyle name="ss2" xfId="40"/>
    <cellStyle name="ss20" xfId="41"/>
    <cellStyle name="ss21" xfId="42"/>
    <cellStyle name="ss22" xfId="43"/>
    <cellStyle name="ss23" xfId="44"/>
    <cellStyle name="ss24" xfId="45"/>
    <cellStyle name="ss25" xfId="46"/>
    <cellStyle name="ss26" xfId="47"/>
    <cellStyle name="ss27" xfId="48"/>
    <cellStyle name="ss28" xfId="49"/>
    <cellStyle name="ss29" xfId="50"/>
    <cellStyle name="ss3" xfId="51"/>
    <cellStyle name="ss30" xfId="52"/>
    <cellStyle name="ss31" xfId="53"/>
    <cellStyle name="ss4" xfId="54"/>
    <cellStyle name="ss5" xfId="55"/>
    <cellStyle name="ss6" xfId="56"/>
    <cellStyle name="ss7" xfId="57"/>
    <cellStyle name="ss8" xfId="58"/>
    <cellStyle name="ss9" xfId="59"/>
    <cellStyle name="Total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CHIVE/INACTIVE%20PROJECTS/AEI/TechnicalNew/1.%20A%20Massive%20Health%20Sector/Latest%20Draft/AEIGuidePartOneER8-31-1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Projections\Function%20Table%20Aggregates_%20Bridgetables\2012%20January\P354_P364%20BASE%20TO%20BASE_final_adjtab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rojections/Baseline_08Mar/Backup08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t One Tables"/>
      <sheetName val="Part One Figures"/>
      <sheetName val="Table 1.1"/>
      <sheetName val="NHE 1960-2011"/>
      <sheetName val="NHE-GDP 1960-2011"/>
      <sheetName val="NHE 1970-2021"/>
      <sheetName val="CMS Table 1, NHE 2006-21"/>
      <sheetName val="PopulationProjections2012-2060"/>
      <sheetName val="Population 2000-50 (unused)"/>
      <sheetName val="Census Population 2015-2060"/>
      <sheetName val="NIPA 1.1.6 2009$ GDP 29-12"/>
      <sheetName val="NIPA 1.1.6 2005$  GDP"/>
      <sheetName val="NIPA 1.1.6 2005$ GDP (2010)"/>
      <sheetName val="CBO 2011-2023 Real GDP"/>
      <sheetName val="NIPA 7.1 Per Capita 29-12"/>
      <sheetName val="NIPA 7.1 Per Capita (2010)"/>
      <sheetName val="Table 1.1.1"/>
      <sheetName val="NIPA 1.1.9 GDP IPD 2009$ "/>
      <sheetName val="NIPA 1.1.9 GDP IPD 2005$"/>
      <sheetName val="NIPA 2.5.4 PCE by Function 2013"/>
      <sheetName val="NIPA 2.5.4 PCE by Function 2012"/>
      <sheetName val="CPI-U 1929-12"/>
      <sheetName val="CPI-W 1929-09 (unused)"/>
      <sheetName val="CMS-PHCE 1997-2011"/>
      <sheetName val="Table 1.1.2"/>
      <sheetName val="Table 1.1.3"/>
      <sheetName val="Table 1.1.4"/>
      <sheetName val="NHE08-60"/>
      <sheetName val="NHE60-07 (unused)"/>
      <sheetName val="NHE65-18 (unused)"/>
      <sheetName val="NHE 1965-2019 (2011)"/>
      <sheetName val="NHE65-19 (2010)"/>
      <sheetName val="NHE08 Summary &amp; GDP (unused)"/>
      <sheetName val="Table 1.1.5"/>
      <sheetName val="NHE65-19 Update"/>
      <sheetName val="Table 1.1.6"/>
      <sheetName val="Table 1.1.7"/>
      <sheetName val="Table 1.1.8"/>
      <sheetName val="Table 1.2"/>
      <sheetName val="Table 1.2.1"/>
      <sheetName val="NIPA 2.5.3 Real PCE Quant 2013"/>
      <sheetName val="NIPA 2.5.3 Real PCE Q 2012"/>
      <sheetName val="Table 1.3"/>
      <sheetName val="Table 1.3.1"/>
      <sheetName val="CBO Table B-1"/>
      <sheetName val="CBO 5-13 Projections"/>
      <sheetName val="CBO GDP 2012-21 (unused)"/>
      <sheetName val="NIPA 1.1.5 GDP 29-12"/>
      <sheetName val="NIPA 1.1.5 GDP (2011)"/>
      <sheetName val="NIPA 1.1.5 GDP (2010)"/>
      <sheetName val="NIPA 3.2 Federal Outlays"/>
      <sheetName val="NIPA 3.2 Federal Outlays (2011)"/>
      <sheetName val="NIPA 3.3 S&amp;L 29-12"/>
      <sheetName val="NIPA 3.3 S&amp;L (2011) "/>
      <sheetName val="Table 1.3.1.1"/>
      <sheetName val="Table 1.3.2"/>
      <sheetName val="Federal Receipts &amp; Outlays, OMB"/>
      <sheetName val="NIPA 2.5.5 PCE by Function"/>
      <sheetName val="NIPA 6.16A GrossProfits 1929-47"/>
      <sheetName val="NIPA 6.16B GrossProfits 1948-87"/>
      <sheetName val="NIPA 6.16C GrossProfits 1987-00"/>
      <sheetName val="NIPA 6.16D GrossProfits 1998-12"/>
      <sheetName val="NIPA6.19A Post-Tx Profits 29-47"/>
      <sheetName val="NIPA6.19B Post-Tx Profits, 48-8"/>
      <sheetName val="NIPA6.19C Post-Tx Profits 87-00"/>
      <sheetName val="NIPA6.19D Post-Tx Profits 98-12"/>
      <sheetName val="Table 1.3.3"/>
      <sheetName val="NIPA2.1 Personal Income 1929-12"/>
      <sheetName val="NIPA 3.6 Social Insurance"/>
      <sheetName val="NIPA 2.2A W&amp;S 1929-00"/>
      <sheetName val="NIPA 2.2A W&amp;S 1929-00 (2009)"/>
      <sheetName val="NIPA 2.2B W&amp;S 1998-12"/>
      <sheetName val="NIPA 2.2B 1998-09 (2010)"/>
      <sheetName val="Table 1.3.4"/>
      <sheetName val="CMS NHE by Sponsor 1987-2011"/>
      <sheetName val="CMS Sponsor Table 4 (unused)"/>
      <sheetName val="CMS Sponsor Table 5 (unused)"/>
      <sheetName val="Table 1.3.4a (2010)"/>
      <sheetName val="Table 1.3.5"/>
      <sheetName val="Table 1.3.5a (2010)"/>
      <sheetName val="Table 1.3.6"/>
      <sheetName val="CMS Table 16 2006-2021 Sponsor"/>
      <sheetName val="Table 1.3.7"/>
      <sheetName val="Table 1.3.8"/>
      <sheetName val="Table 1.3.9"/>
      <sheetName val="Table 1.4"/>
      <sheetName val="Table 1.5"/>
      <sheetName val="Table 1.5.1"/>
      <sheetName val="REFERENCES"/>
      <sheetName val="Table 1.6"/>
      <sheetName val="Table 1.6.1"/>
      <sheetName val="Table 1.6.2"/>
      <sheetName val="Table 1.6.3"/>
      <sheetName val="Table 1.6.4"/>
      <sheetName val="Table 1.7 "/>
      <sheetName val="UN Population (2013)"/>
      <sheetName val="UN Population (2010)"/>
      <sheetName val="Table 1.7.1"/>
      <sheetName val="WHO GNI Capita 1990-2008"/>
      <sheetName val="WHO PC Health 1995-2009"/>
      <sheetName val="WHO PC Health Detailed 2009"/>
      <sheetName val="Table 1.7.1a"/>
      <sheetName val="Table 1.7.2"/>
      <sheetName val="Table 1.7.2a"/>
      <sheetName val="CBO Table 1-3 (2010)"/>
      <sheetName val="CBO Table C-1 (2010)"/>
      <sheetName val="CBO DataTable C-1 8-2010"/>
      <sheetName val="GDP Quantity Indexes (1.1.3)"/>
      <sheetName val="GDP Per Capita 29-09 (NIPA 7.1)"/>
      <sheetName val="GDP Price Deflator (NIPA 1.1.9)"/>
      <sheetName val="GDP Price Index (NIPA 1.5.4)"/>
      <sheetName val="NIPA 2.4.3 PCE QIndex 1929-08 "/>
      <sheetName val="PCE Expend 1929-08 (2.5.5)"/>
      <sheetName val="Federal, CBO Projections"/>
      <sheetName val="Federal Health Spending OMB"/>
      <sheetName val="NIPA 3.3 S&amp;L Spending (3.3)"/>
      <sheetName val="OECD Health Spending"/>
      <sheetName val="OECD Gross Domestic Product"/>
      <sheetName val="OECD GDP 2007"/>
      <sheetName val="OECD Population"/>
      <sheetName val="OECD.Stat export"/>
      <sheetName val="OECD PPP 2005"/>
      <sheetName val="Real NHE pr Capita Growth 98-07"/>
      <sheetName val="OECD NHE per Capita 1960-2007"/>
      <sheetName val="PPT Detail"/>
      <sheetName val="Table 1.5a NHE PCT GDP 1960-98"/>
      <sheetName val="OECD NHE PCT GDP 1960-08"/>
      <sheetName val="OECD % of GDP 2005-201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10">
          <cell r="J10">
            <v>29.5</v>
          </cell>
          <cell r="K10">
            <v>6.2</v>
          </cell>
        </row>
        <row r="11">
          <cell r="J11">
            <v>31.5</v>
          </cell>
          <cell r="K11">
            <v>8.8000000000000007</v>
          </cell>
        </row>
        <row r="12">
          <cell r="J12">
            <v>33.700000000000003</v>
          </cell>
          <cell r="K12">
            <v>11.3</v>
          </cell>
        </row>
        <row r="13">
          <cell r="J13">
            <v>35.700000000000003</v>
          </cell>
          <cell r="K13">
            <v>10.199999999999999</v>
          </cell>
        </row>
        <row r="14">
          <cell r="J14">
            <v>39.700000000000003</v>
          </cell>
          <cell r="K14">
            <v>10.4</v>
          </cell>
        </row>
        <row r="15">
          <cell r="J15">
            <v>42</v>
          </cell>
          <cell r="K15">
            <v>11.2</v>
          </cell>
        </row>
        <row r="16">
          <cell r="J16">
            <v>43.8</v>
          </cell>
          <cell r="K16">
            <v>13</v>
          </cell>
        </row>
        <row r="17">
          <cell r="J17">
            <v>50.7</v>
          </cell>
          <cell r="K17">
            <v>14.5</v>
          </cell>
        </row>
        <row r="18">
          <cell r="J18">
            <v>56</v>
          </cell>
          <cell r="K18">
            <v>16.399999999999999</v>
          </cell>
        </row>
        <row r="19">
          <cell r="J19">
            <v>59.3</v>
          </cell>
          <cell r="K19">
            <v>15.2</v>
          </cell>
        </row>
        <row r="20">
          <cell r="J20">
            <v>63</v>
          </cell>
          <cell r="K20">
            <v>15.5</v>
          </cell>
        </row>
        <row r="21">
          <cell r="J21">
            <v>69.2</v>
          </cell>
          <cell r="K21">
            <v>15.5</v>
          </cell>
        </row>
        <row r="22">
          <cell r="J22">
            <v>75.099999999999994</v>
          </cell>
          <cell r="K22">
            <v>16.3</v>
          </cell>
        </row>
        <row r="23">
          <cell r="J23">
            <v>82.6</v>
          </cell>
          <cell r="K23">
            <v>16.3</v>
          </cell>
        </row>
        <row r="24">
          <cell r="J24">
            <v>83</v>
          </cell>
          <cell r="K24">
            <v>18.100000000000001</v>
          </cell>
        </row>
        <row r="25">
          <cell r="J25">
            <v>84.4</v>
          </cell>
          <cell r="K25">
            <v>19.899999999999999</v>
          </cell>
        </row>
        <row r="26">
          <cell r="J26">
            <v>86.3</v>
          </cell>
          <cell r="K26">
            <v>21.7</v>
          </cell>
        </row>
        <row r="27">
          <cell r="J27">
            <v>91.5</v>
          </cell>
          <cell r="K27">
            <v>24.7</v>
          </cell>
        </row>
        <row r="28">
          <cell r="J28">
            <v>96.6</v>
          </cell>
          <cell r="K28">
            <v>29.1</v>
          </cell>
        </row>
        <row r="29">
          <cell r="J29">
            <v>103.6</v>
          </cell>
          <cell r="K29">
            <v>36.6</v>
          </cell>
        </row>
        <row r="30">
          <cell r="J30">
            <v>109.2</v>
          </cell>
          <cell r="K30">
            <v>40.299999999999997</v>
          </cell>
        </row>
        <row r="31">
          <cell r="J31">
            <v>112.3</v>
          </cell>
          <cell r="K31">
            <v>44.2</v>
          </cell>
        </row>
        <row r="32">
          <cell r="J32">
            <v>108.5</v>
          </cell>
          <cell r="K32">
            <v>47.2</v>
          </cell>
        </row>
        <row r="33">
          <cell r="J33">
            <v>112.3</v>
          </cell>
          <cell r="K33">
            <v>49.2</v>
          </cell>
        </row>
        <row r="34">
          <cell r="J34">
            <v>117.4</v>
          </cell>
          <cell r="K34">
            <v>51.2</v>
          </cell>
        </row>
      </sheetData>
      <sheetData sheetId="74"/>
      <sheetData sheetId="75"/>
      <sheetData sheetId="76"/>
      <sheetData sheetId="77"/>
      <sheetData sheetId="78"/>
      <sheetData sheetId="79"/>
      <sheetData sheetId="80">
        <row r="10">
          <cell r="I10">
            <v>140</v>
          </cell>
        </row>
        <row r="11">
          <cell r="I11">
            <v>150</v>
          </cell>
        </row>
        <row r="12">
          <cell r="I12">
            <v>157</v>
          </cell>
        </row>
        <row r="13">
          <cell r="I13">
            <v>155</v>
          </cell>
        </row>
        <row r="14">
          <cell r="I14">
            <v>163</v>
          </cell>
        </row>
        <row r="15">
          <cell r="I15">
            <v>167</v>
          </cell>
        </row>
        <row r="16">
          <cell r="I16">
            <v>175</v>
          </cell>
        </row>
        <row r="17">
          <cell r="I17">
            <v>194</v>
          </cell>
        </row>
        <row r="18">
          <cell r="I18">
            <v>205</v>
          </cell>
        </row>
        <row r="19">
          <cell r="I19">
            <v>220</v>
          </cell>
        </row>
        <row r="20">
          <cell r="I20">
            <v>236</v>
          </cell>
        </row>
        <row r="21">
          <cell r="I21">
            <v>254</v>
          </cell>
        </row>
        <row r="22">
          <cell r="I22">
            <v>273</v>
          </cell>
        </row>
        <row r="23">
          <cell r="I23">
            <v>292</v>
          </cell>
        </row>
        <row r="24">
          <cell r="I24">
            <v>311</v>
          </cell>
        </row>
        <row r="25">
          <cell r="I25">
            <v>332</v>
          </cell>
        </row>
      </sheetData>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OLDDISC"/>
      <sheetName val="DISCleg"/>
      <sheetName val="DISCecon"/>
      <sheetName val="DISCtech"/>
      <sheetName val="DISCTOT"/>
      <sheetName val="NEWDISC"/>
      <sheetName val="OLDMAND"/>
      <sheetName val="MANDLEG"/>
      <sheetName val="MANDECON"/>
      <sheetName val="MANDTECH"/>
      <sheetName val="MANDTOT"/>
      <sheetName val="NEWMAND"/>
      <sheetName val="OLDTOT"/>
      <sheetName val="TOTLEG"/>
      <sheetName val="TOTECON"/>
      <sheetName val="TOTTECH"/>
      <sheetName val="TOTTOT"/>
      <sheetName val="NEWTOT"/>
      <sheetName val="SumChngs"/>
      <sheetName val="PubInf-leg.econ.tech"/>
      <sheetName val="JSC changes"/>
      <sheetName val="PubInf-rev.vs.outlays"/>
      <sheetName val="U"/>
    </sheetNames>
    <sheetDataSet>
      <sheetData sheetId="0">
        <row r="2">
          <cell r="C2" t="str">
            <v>August 2011 Baseline</v>
          </cell>
        </row>
        <row r="3">
          <cell r="C3" t="str">
            <v>January 2012 Baseline</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Deficit"/>
      <sheetName val="Baseline"/>
      <sheetName val="rev"/>
      <sheetName val="outlays"/>
      <sheetName val="Offbud"/>
      <sheetName val="int"/>
      <sheetName val="OffReceipts"/>
      <sheetName val="Disc"/>
      <sheetName val="DiscNoEmerg"/>
      <sheetName val="HLS-Act"/>
      <sheetName val="Table 3-1"/>
      <sheetName val="Growth rates"/>
      <sheetName val="Growth rates Reest"/>
      <sheetName val="BA_Growth"/>
      <sheetName val="OMBComp"/>
      <sheetName val="Reest"/>
      <sheetName val="DctBaseReest"/>
      <sheetName val="DiscBaseReest"/>
      <sheetName val="DiscBaseNoExtReest"/>
      <sheetName val="OMBCompPolicy"/>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C7" t="str">
            <v>Actual</v>
          </cell>
          <cell r="E7" t="str">
            <v>Actual</v>
          </cell>
          <cell r="G7" t="str">
            <v>Estimated</v>
          </cell>
          <cell r="I7" t="str">
            <v>Projecteda</v>
          </cell>
          <cell r="K7" t="str">
            <v>Projecteda</v>
          </cell>
        </row>
        <row r="8">
          <cell r="C8" t="str">
            <v>1997-2006</v>
          </cell>
          <cell r="E8">
            <v>2007</v>
          </cell>
          <cell r="G8">
            <v>2008</v>
          </cell>
          <cell r="I8">
            <v>2009</v>
          </cell>
          <cell r="K8" t="str">
            <v>2010-2018</v>
          </cell>
        </row>
        <row r="12">
          <cell r="B12" t="str">
            <v>Individual Income Taxes</v>
          </cell>
          <cell r="C12">
            <v>4.7486032318542648</v>
          </cell>
          <cell r="E12">
            <v>11.453499733693008</v>
          </cell>
          <cell r="G12">
            <v>-1.9289391027070057</v>
          </cell>
          <cell r="I12">
            <v>17.146302554196314</v>
          </cell>
          <cell r="K12">
            <v>6.9387469713228844</v>
          </cell>
        </row>
        <row r="13">
          <cell r="B13" t="str">
            <v>Corporate Income Taxes</v>
          </cell>
          <cell r="C13">
            <v>7.4933293847241567</v>
          </cell>
          <cell r="E13">
            <v>4.6135371487503685</v>
          </cell>
          <cell r="G13">
            <v>-12.08246037651679</v>
          </cell>
          <cell r="I13">
            <v>3.8724753715940086</v>
          </cell>
          <cell r="K13">
            <v>1.4292913648464411</v>
          </cell>
        </row>
        <row r="14">
          <cell r="B14" t="str">
            <v>Social Insurance Taxes</v>
          </cell>
          <cell r="C14">
            <v>5.1012875818637227</v>
          </cell>
          <cell r="E14">
            <v>3.7939392549620976</v>
          </cell>
          <cell r="G14">
            <v>4.8615247587148636</v>
          </cell>
          <cell r="I14">
            <v>4.1532774443012954</v>
          </cell>
          <cell r="K14">
            <v>4.5148962795312109</v>
          </cell>
        </row>
        <row r="15">
          <cell r="B15" t="str">
            <v>Otherb</v>
          </cell>
          <cell r="C15">
            <v>4.0369925225316683</v>
          </cell>
          <cell r="E15">
            <v>-3.9000417928981568</v>
          </cell>
          <cell r="G15">
            <v>1.762291890594847</v>
          </cell>
          <cell r="I15">
            <v>0.37687320286878823</v>
          </cell>
          <cell r="K15">
            <v>7.12500847930706</v>
          </cell>
        </row>
        <row r="17">
          <cell r="B17" t="str">
            <v>Total Revenues</v>
          </cell>
          <cell r="C17">
            <v>5.1768936908140883</v>
          </cell>
          <cell r="E17">
            <v>6.6875185620015154</v>
          </cell>
          <cell r="G17">
            <v>-0.8564087679470922</v>
          </cell>
          <cell r="I17">
            <v>9.6909419180986056</v>
          </cell>
          <cell r="K17">
            <v>5.5853898768911447</v>
          </cell>
        </row>
        <row r="21">
          <cell r="C21">
            <v>6.0225986999876024</v>
          </cell>
          <cell r="E21">
            <v>2.7787770548362234</v>
          </cell>
          <cell r="G21">
            <v>8.6643534531464006</v>
          </cell>
          <cell r="I21">
            <v>5.4905638364516562</v>
          </cell>
          <cell r="K21">
            <v>5.63571789106041</v>
          </cell>
        </row>
        <row r="22">
          <cell r="B22" t="str">
            <v>Social Security</v>
          </cell>
          <cell r="C22">
            <v>4.5956093072890392</v>
          </cell>
          <cell r="E22">
            <v>6.9002097769671922</v>
          </cell>
          <cell r="G22">
            <v>5.2020665861771231</v>
          </cell>
          <cell r="I22">
            <v>5.6437176408272949</v>
          </cell>
          <cell r="K22">
            <v>5.9581970116646454</v>
          </cell>
        </row>
        <row r="23">
          <cell r="B23" t="str">
            <v>Medicare</v>
          </cell>
          <cell r="C23">
            <v>6.9263400051611024</v>
          </cell>
          <cell r="E23">
            <v>16.917857515524947</v>
          </cell>
          <cell r="G23">
            <v>4.0935137213261807</v>
          </cell>
          <cell r="I23">
            <v>7.2728152095534515</v>
          </cell>
          <cell r="K23">
            <v>6.8735882395491776</v>
          </cell>
        </row>
        <row r="24">
          <cell r="B24" t="str">
            <v>Medicaid</v>
          </cell>
          <cell r="C24">
            <v>6.9802784931323192</v>
          </cell>
          <cell r="E24">
            <v>5.5357785467128107</v>
          </cell>
          <cell r="G24">
            <v>8.5209627329192461</v>
          </cell>
          <cell r="I24">
            <v>8.2125230220383205</v>
          </cell>
          <cell r="K24">
            <v>7.9323292169510617</v>
          </cell>
        </row>
        <row r="25">
          <cell r="B25" t="str">
            <v>Otherc</v>
          </cell>
          <cell r="C25">
            <v>7.2063828127606033</v>
          </cell>
          <cell r="E25">
            <v>-22.788782926495088</v>
          </cell>
          <cell r="G25">
            <v>25.327456854928521</v>
          </cell>
          <cell r="I25">
            <v>0.65855329013220221</v>
          </cell>
          <cell r="K25">
            <v>-3.9535229706733066E-2</v>
          </cell>
        </row>
        <row r="26">
          <cell r="G26" t="str">
            <v xml:space="preserve"> </v>
          </cell>
          <cell r="I26" t="str">
            <v xml:space="preserve"> </v>
          </cell>
        </row>
        <row r="27">
          <cell r="C27">
            <v>6.6769135744379149</v>
          </cell>
          <cell r="E27">
            <v>2.4648372184518541</v>
          </cell>
          <cell r="G27">
            <v>4.8505413914913253</v>
          </cell>
          <cell r="I27">
            <v>2.6819776048690347</v>
          </cell>
          <cell r="K27">
            <v>2.1887449542027593</v>
          </cell>
        </row>
        <row r="28">
          <cell r="B28" t="str">
            <v>Defense</v>
          </cell>
          <cell r="C28">
            <v>6.9341365711387937</v>
          </cell>
          <cell r="E28">
            <v>5.6135499082646367</v>
          </cell>
          <cell r="G28">
            <v>4.2925324539344389</v>
          </cell>
          <cell r="I28">
            <v>3.0974131187842202</v>
          </cell>
          <cell r="K28">
            <v>2.3018298575080198</v>
          </cell>
        </row>
        <row r="29">
          <cell r="B29" t="str">
            <v>Nondefense</v>
          </cell>
          <cell r="C29">
            <v>6.4147668152078285</v>
          </cell>
          <cell r="E29">
            <v>-0.83124297902666955</v>
          </cell>
          <cell r="G29">
            <v>5.4726277261128109</v>
          </cell>
          <cell r="I29">
            <v>2.2240186313287502</v>
          </cell>
          <cell r="K29">
            <v>2.0618331295697567</v>
          </cell>
        </row>
        <row r="30">
          <cell r="G30" t="str">
            <v xml:space="preserve"> </v>
          </cell>
          <cell r="I30" t="str">
            <v xml:space="preserve"> </v>
          </cell>
        </row>
        <row r="31">
          <cell r="C31">
            <v>-0.61626563184342675</v>
          </cell>
          <cell r="E31">
            <v>4.6363022554864575</v>
          </cell>
          <cell r="G31">
            <v>-1.4508095432902213</v>
          </cell>
          <cell r="I31">
            <v>-8.2308735861410849</v>
          </cell>
          <cell r="K31">
            <v>2.4046319729486898</v>
          </cell>
        </row>
        <row r="32">
          <cell r="G32" t="str">
            <v xml:space="preserve"> </v>
          </cell>
          <cell r="I32" t="str">
            <v xml:space="preserve"> </v>
          </cell>
        </row>
        <row r="33">
          <cell r="C33">
            <v>5.4591300958756195</v>
          </cell>
          <cell r="E33">
            <v>2.8170902319205604</v>
          </cell>
          <cell r="G33">
            <v>6.3306865584393357</v>
          </cell>
          <cell r="I33">
            <v>3.329390400002219</v>
          </cell>
          <cell r="K33">
            <v>4.2252597404885739</v>
          </cell>
        </row>
        <row r="34">
          <cell r="G34" t="str">
            <v xml:space="preserve"> </v>
          </cell>
          <cell r="I34" t="str">
            <v xml:space="preserve"> </v>
          </cell>
        </row>
        <row r="35">
          <cell r="C35">
            <v>6.2911235894605344</v>
          </cell>
          <cell r="E35">
            <v>2.6473630123450276</v>
          </cell>
          <cell r="G35">
            <v>7.0707447499771314</v>
          </cell>
          <cell r="I35">
            <v>4.3413257211786016</v>
          </cell>
          <cell r="K35">
            <v>4.3553703848308034</v>
          </cell>
        </row>
        <row r="38">
          <cell r="C38">
            <v>2.5725322517730076</v>
          </cell>
          <cell r="E38">
            <v>2.3483095745044036</v>
          </cell>
          <cell r="G38">
            <v>3.2876462144060037</v>
          </cell>
          <cell r="I38">
            <v>1.949104151204617</v>
          </cell>
          <cell r="K38">
            <v>2.1526703654074941</v>
          </cell>
        </row>
        <row r="40">
          <cell r="C40">
            <v>5.3991189652255356</v>
          </cell>
          <cell r="E40">
            <v>4.9748521845964788</v>
          </cell>
          <cell r="G40">
            <v>4.1751530827397687</v>
          </cell>
          <cell r="I40">
            <v>3.7301265602863731</v>
          </cell>
          <cell r="K40">
            <v>4.7266128397834395</v>
          </cell>
        </row>
        <row r="42">
          <cell r="C42">
            <v>7.1997037886633253</v>
          </cell>
          <cell r="E42">
            <v>6.8369700760548602</v>
          </cell>
          <cell r="G42">
            <v>-2.533710714338977</v>
          </cell>
          <cell r="I42">
            <v>2.8570663371204175</v>
          </cell>
          <cell r="K42">
            <v>2.3730630693638677</v>
          </cell>
        </row>
        <row r="43">
          <cell r="B43" t="str">
            <v>Defense</v>
          </cell>
          <cell r="C43">
            <v>7.6940842778054463</v>
          </cell>
          <cell r="E43">
            <v>11.834754404722325</v>
          </cell>
          <cell r="G43">
            <v>-5.6469987113691893</v>
          </cell>
          <cell r="I43">
            <v>2.1818020813288319</v>
          </cell>
          <cell r="K43">
            <v>2.3938581881523202</v>
          </cell>
        </row>
        <row r="44">
          <cell r="B44" t="str">
            <v>Nondefense</v>
          </cell>
          <cell r="C44">
            <v>6.617965783333668</v>
          </cell>
          <cell r="E44">
            <v>0.62188971345700228</v>
          </cell>
          <cell r="G44">
            <v>1.7693042261653469</v>
          </cell>
          <cell r="I44">
            <v>3.7223653975825721</v>
          </cell>
          <cell r="K44">
            <v>2.3467631651409526</v>
          </cell>
        </row>
        <row r="51">
          <cell r="B51" t="str">
            <v>When constructing its baseline, CBO's uses the employment cost index for wages and salaries to inflate discretionary spending related to federal personnel and the gross domestic product price index to adjust other discretionary spending.</v>
          </cell>
        </row>
        <row r="55">
          <cell r="B55" t="str">
            <v>Includes excise, estate, and gift taxes as well as customs duties.</v>
          </cell>
        </row>
        <row r="58">
          <cell r="B58" t="str">
            <v>Includes offsetting receipts.</v>
          </cell>
        </row>
      </sheetData>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5"/>
  <sheetViews>
    <sheetView tabSelected="1" view="pageBreakPreview" topLeftCell="A251" zoomScaleNormal="100" zoomScaleSheetLayoutView="100" workbookViewId="0">
      <selection activeCell="L9" sqref="L9"/>
    </sheetView>
  </sheetViews>
  <sheetFormatPr defaultRowHeight="15"/>
  <cols>
    <col min="1" max="1" width="6.7109375" customWidth="1"/>
    <col min="2" max="4" width="8.7109375" customWidth="1"/>
    <col min="5" max="5" width="6.7109375" customWidth="1"/>
    <col min="6" max="6" width="8.7109375" customWidth="1"/>
    <col min="7" max="7" width="7.7109375" customWidth="1"/>
    <col min="8" max="8" width="6.7109375" customWidth="1"/>
    <col min="9" max="9" width="9.7109375" customWidth="1"/>
    <col min="10" max="10" width="8.42578125" customWidth="1"/>
    <col min="11" max="11" width="5.7109375" customWidth="1"/>
    <col min="12" max="12" width="5.28515625" customWidth="1"/>
    <col min="13" max="13" width="5.7109375" customWidth="1"/>
    <col min="14" max="18" width="5.28515625" customWidth="1"/>
  </cols>
  <sheetData>
    <row r="1" spans="1:18" ht="18" customHeight="1" thickBot="1">
      <c r="A1" s="1" t="s">
        <v>0</v>
      </c>
      <c r="B1" s="1"/>
      <c r="C1" s="1"/>
      <c r="D1" s="1"/>
      <c r="E1" s="1"/>
      <c r="F1" s="1"/>
      <c r="G1" s="1"/>
      <c r="H1" s="1"/>
      <c r="I1" s="1"/>
      <c r="J1" s="1"/>
      <c r="K1" s="1"/>
      <c r="L1" s="1"/>
      <c r="M1" s="1"/>
      <c r="N1" s="1"/>
      <c r="O1" s="1"/>
      <c r="P1" s="1"/>
      <c r="Q1" s="1"/>
      <c r="R1" s="1"/>
    </row>
    <row r="2" spans="1:18" ht="15.75" customHeight="1" thickTop="1">
      <c r="A2" s="2" t="s">
        <v>1</v>
      </c>
      <c r="B2" s="3" t="s">
        <v>2</v>
      </c>
      <c r="C2" s="3" t="s">
        <v>3</v>
      </c>
      <c r="D2" s="4"/>
      <c r="E2" s="3" t="s">
        <v>4</v>
      </c>
      <c r="F2" s="4"/>
      <c r="G2" s="3" t="s">
        <v>5</v>
      </c>
      <c r="H2" s="4"/>
      <c r="I2" s="3" t="s">
        <v>6</v>
      </c>
      <c r="J2" s="4"/>
      <c r="K2" s="5" t="s">
        <v>7</v>
      </c>
      <c r="L2" s="6"/>
      <c r="M2" s="6"/>
      <c r="N2" s="6"/>
      <c r="O2" s="6"/>
      <c r="P2" s="6"/>
      <c r="Q2" s="6"/>
      <c r="R2" s="6"/>
    </row>
    <row r="3" spans="1:18" ht="40.5" customHeight="1">
      <c r="A3" s="7"/>
      <c r="B3" s="8"/>
      <c r="C3" s="9"/>
      <c r="D3" s="10"/>
      <c r="E3" s="9"/>
      <c r="F3" s="10"/>
      <c r="G3" s="9"/>
      <c r="H3" s="10"/>
      <c r="I3" s="9"/>
      <c r="J3" s="10"/>
      <c r="K3" s="11" t="s">
        <v>8</v>
      </c>
      <c r="L3" s="12"/>
      <c r="M3" s="12"/>
      <c r="N3" s="13"/>
      <c r="O3" s="11" t="s">
        <v>9</v>
      </c>
      <c r="P3" s="12"/>
      <c r="Q3" s="11" t="s">
        <v>10</v>
      </c>
      <c r="R3" s="12"/>
    </row>
    <row r="4" spans="1:18" ht="15.75" customHeight="1">
      <c r="A4" s="7"/>
      <c r="B4" s="8"/>
      <c r="C4" s="14" t="s">
        <v>11</v>
      </c>
      <c r="D4" s="14" t="s">
        <v>12</v>
      </c>
      <c r="E4" s="14" t="s">
        <v>13</v>
      </c>
      <c r="F4" s="14" t="s">
        <v>14</v>
      </c>
      <c r="G4" s="14" t="s">
        <v>15</v>
      </c>
      <c r="H4" s="14" t="s">
        <v>16</v>
      </c>
      <c r="I4" s="14" t="s">
        <v>17</v>
      </c>
      <c r="J4" s="14" t="s">
        <v>18</v>
      </c>
      <c r="K4" s="15" t="s">
        <v>15</v>
      </c>
      <c r="L4" s="15" t="s">
        <v>19</v>
      </c>
      <c r="M4" s="15" t="s">
        <v>20</v>
      </c>
      <c r="N4" s="15" t="s">
        <v>18</v>
      </c>
      <c r="O4" s="15" t="s">
        <v>21</v>
      </c>
      <c r="P4" s="15" t="s">
        <v>18</v>
      </c>
      <c r="Q4" s="15" t="s">
        <v>21</v>
      </c>
      <c r="R4" s="15" t="s">
        <v>18</v>
      </c>
    </row>
    <row r="5" spans="1:18" ht="22.5" customHeight="1">
      <c r="A5" s="16" t="s">
        <v>22</v>
      </c>
      <c r="B5" s="17"/>
      <c r="C5" s="18"/>
      <c r="D5" s="18"/>
      <c r="E5" s="18"/>
      <c r="F5" s="18"/>
      <c r="G5" s="18"/>
      <c r="H5" s="18"/>
      <c r="I5" s="18"/>
      <c r="J5" s="18"/>
      <c r="K5" s="9"/>
      <c r="L5" s="9"/>
      <c r="M5" s="9"/>
      <c r="N5" s="9"/>
      <c r="O5" s="9"/>
      <c r="P5" s="9"/>
      <c r="Q5" s="9"/>
      <c r="R5" s="9"/>
    </row>
    <row r="6" spans="1:18" ht="12.75" customHeight="1">
      <c r="A6" s="19">
        <v>1929</v>
      </c>
      <c r="B6" s="20">
        <f>F119</f>
        <v>3712.6183379514991</v>
      </c>
      <c r="C6" s="21">
        <f>C$119/G$119</f>
        <v>123.73685995252629</v>
      </c>
      <c r="D6" s="22">
        <v>121.878</v>
      </c>
      <c r="E6" s="20">
        <f>$B6/C6</f>
        <v>30.004142172153934</v>
      </c>
      <c r="F6" s="20">
        <f>$B6/D6</f>
        <v>30.461759611673141</v>
      </c>
      <c r="G6" s="22">
        <v>1055.5999999999999</v>
      </c>
      <c r="H6" s="23">
        <v>8661</v>
      </c>
      <c r="I6" s="20">
        <f>$B6*100/'Table 1.1.1'!$B7</f>
        <v>37482.264896027256</v>
      </c>
      <c r="J6" s="20">
        <f>$F6*100/'Table 1.1.1'!$B7</f>
        <v>307.53921869432753</v>
      </c>
      <c r="K6" s="23">
        <f t="shared" ref="K6:N21" si="0">100*G6/G$6</f>
        <v>100</v>
      </c>
      <c r="L6" s="23">
        <f t="shared" si="0"/>
        <v>100</v>
      </c>
      <c r="M6" s="23">
        <f t="shared" si="0"/>
        <v>100</v>
      </c>
      <c r="N6" s="23">
        <f t="shared" si="0"/>
        <v>100</v>
      </c>
      <c r="O6" s="23">
        <f>100*$B6*('Table 1.1.1'!$E$7/'Table 1.1.1'!$E7)/$B$6</f>
        <v>100</v>
      </c>
      <c r="P6" s="23">
        <f>100*$F6*('Table 1.1.1'!$E$7/'Table 1.1.1'!$E7)/$F$6</f>
        <v>100</v>
      </c>
      <c r="Q6" s="23">
        <f>100*$B6*('Table 1.1.1'!$H$7/'Table 1.1.1'!$H7)/$B$6</f>
        <v>100</v>
      </c>
      <c r="R6" s="23">
        <f>100*$F6*('Table 1.1.1'!$H$7/'Table 1.1.1'!$H7)/$F$6</f>
        <v>100</v>
      </c>
    </row>
    <row r="7" spans="1:18" ht="12.75" customHeight="1">
      <c r="A7" s="24">
        <v>1930</v>
      </c>
      <c r="B7" s="20">
        <f>1000*'Table 1.3'!B8*'Table 1.3.1'!B8</f>
        <v>3341.1839391004228</v>
      </c>
      <c r="C7" s="21">
        <f>C6*(C$12/C$6)^(1/6)</f>
        <v>124.69926198052492</v>
      </c>
      <c r="D7" s="22">
        <v>123.188</v>
      </c>
      <c r="E7" s="20">
        <f t="shared" ref="E7:E70" si="1">$B7/C7</f>
        <v>26.793935152737607</v>
      </c>
      <c r="F7" s="20">
        <f t="shared" ref="F7:F70" si="2">B7/D7</f>
        <v>27.122641321398373</v>
      </c>
      <c r="G7" s="22">
        <v>965.8</v>
      </c>
      <c r="H7" s="23">
        <v>7840</v>
      </c>
      <c r="I7" s="20">
        <f>$B7*100/'Table 1.1.1'!$B8</f>
        <v>35011.882417483219</v>
      </c>
      <c r="J7" s="20">
        <f>$F7*100/'Table 1.1.1'!$B8</f>
        <v>284.21504056793856</v>
      </c>
      <c r="K7" s="23">
        <f t="shared" si="0"/>
        <v>91.492989768851842</v>
      </c>
      <c r="L7" s="23">
        <f t="shared" si="0"/>
        <v>90.520725089481587</v>
      </c>
      <c r="M7" s="23">
        <f>100*I7/I$6</f>
        <v>93.409196361541447</v>
      </c>
      <c r="N7" s="23">
        <f t="shared" si="0"/>
        <v>92.415868705977445</v>
      </c>
      <c r="O7" s="23">
        <f>100*$B7*('Table 1.1.1'!$E$7/'Table 1.1.1'!$E8)/$B$6</f>
        <v>89.946214419873144</v>
      </c>
      <c r="P7" s="23">
        <f>100*$F7*('Table 1.1.1'!$E$7/'Table 1.1.1'!$E8)/$F$6</f>
        <v>88.989712642995258</v>
      </c>
      <c r="Q7" s="23">
        <f>100*$B7*('Table 1.1.1'!$H$7/'Table 1.1.1'!$H8)/$B$6</f>
        <v>92.15092922292952</v>
      </c>
      <c r="R7" s="23">
        <f>100*$F7*('Table 1.1.1'!$H$7/'Table 1.1.1'!$H8)/$F$6</f>
        <v>91.170982172226218</v>
      </c>
    </row>
    <row r="8" spans="1:18" ht="12.75" customHeight="1">
      <c r="A8" s="24">
        <v>1931</v>
      </c>
      <c r="B8" s="20">
        <f>1000*'Table 1.3'!B9*'Table 1.3.1'!B9</f>
        <v>2863.7247162851149</v>
      </c>
      <c r="C8" s="21">
        <f>C7*(C$12/C$6)^(1/6)</f>
        <v>125.66914939051766</v>
      </c>
      <c r="D8" s="22">
        <v>124.149</v>
      </c>
      <c r="E8" s="20">
        <f t="shared" si="1"/>
        <v>22.787810136170116</v>
      </c>
      <c r="F8" s="20">
        <f t="shared" si="2"/>
        <v>23.066836754908334</v>
      </c>
      <c r="G8" s="22">
        <v>904.1</v>
      </c>
      <c r="H8" s="23">
        <v>7282</v>
      </c>
      <c r="I8" s="20">
        <f>$B8*100/'Table 1.1.1'!$B9</f>
        <v>33446.913294617087</v>
      </c>
      <c r="J8" s="20">
        <f>$F8*100/'Table 1.1.1'!$B9</f>
        <v>269.40944586438138</v>
      </c>
      <c r="K8" s="23">
        <f t="shared" si="0"/>
        <v>85.647972716938241</v>
      </c>
      <c r="L8" s="23">
        <f t="shared" si="0"/>
        <v>84.07805103336797</v>
      </c>
      <c r="M8" s="23">
        <f>100*I8/I$6</f>
        <v>89.233970752290702</v>
      </c>
      <c r="N8" s="23">
        <f t="shared" si="0"/>
        <v>87.601655167159521</v>
      </c>
      <c r="O8" s="23">
        <f>100*$B8*('Table 1.1.1'!$E$7/'Table 1.1.1'!$E9)/$B$6</f>
        <v>81.805010403130282</v>
      </c>
      <c r="P8" s="23">
        <f>100*$F8*('Table 1.1.1'!$E$7/'Table 1.1.1'!$E9)/$F$6</f>
        <v>80.308589339525184</v>
      </c>
      <c r="Q8" s="23">
        <f>100*$B8*('Table 1.1.1'!$H$7/'Table 1.1.1'!$H9)/$B$6</f>
        <v>86.776770800479781</v>
      </c>
      <c r="R8" s="23">
        <f>100*$F8*('Table 1.1.1'!$H$7/'Table 1.1.1'!$H9)/$F$6</f>
        <v>85.189403632899769</v>
      </c>
    </row>
    <row r="9" spans="1:18" ht="12.75" customHeight="1">
      <c r="A9" s="24">
        <v>1932</v>
      </c>
      <c r="B9" s="20">
        <f>1000*'Table 1.3'!B10*'Table 1.3.1'!B10</f>
        <v>2247.6470572142098</v>
      </c>
      <c r="C9" s="21">
        <f>C8*(C$12/C$6)^(1/6)</f>
        <v>126.64658040239803</v>
      </c>
      <c r="D9" s="22">
        <v>124.949</v>
      </c>
      <c r="E9" s="20">
        <f t="shared" si="1"/>
        <v>17.74739633768786</v>
      </c>
      <c r="F9" s="20">
        <f t="shared" si="2"/>
        <v>17.988515772148716</v>
      </c>
      <c r="G9" s="22">
        <v>787.5</v>
      </c>
      <c r="H9" s="23">
        <v>6303</v>
      </c>
      <c r="I9" s="20">
        <f>$B9*100/'Table 1.1.1'!$B10</f>
        <v>29734.71434335507</v>
      </c>
      <c r="J9" s="20">
        <f>$F9*100/'Table 1.1.1'!$B10</f>
        <v>237.97480846869581</v>
      </c>
      <c r="K9" s="23">
        <f t="shared" si="0"/>
        <v>74.602122015915128</v>
      </c>
      <c r="L9" s="23">
        <f t="shared" si="0"/>
        <v>72.774506408036018</v>
      </c>
      <c r="M9" s="23">
        <f>100*I9/I$6</f>
        <v>79.330089645961209</v>
      </c>
      <c r="N9" s="23">
        <f t="shared" si="0"/>
        <v>77.380312494461435</v>
      </c>
      <c r="O9" s="23">
        <f>100*$B9*('Table 1.1.1'!$E$7/'Table 1.1.1'!$E10)/$B$6</f>
        <v>71.427551637020215</v>
      </c>
      <c r="P9" s="23">
        <f>100*$F9*('Table 1.1.1'!$E$7/'Table 1.1.1'!$E10)/$F$6</f>
        <v>69.672003284674147</v>
      </c>
      <c r="Q9" s="23">
        <f>100*$B9*('Table 1.1.1'!$H$7/'Table 1.1.1'!$H10)/$B$6</f>
        <v>75.56546405847034</v>
      </c>
      <c r="R9" s="23">
        <f>100*$F9*('Table 1.1.1'!$H$7/'Table 1.1.1'!$H10)/$F$6</f>
        <v>73.70821397944961</v>
      </c>
    </row>
    <row r="10" spans="1:18" ht="12.75" customHeight="1">
      <c r="A10" s="24">
        <v>1933</v>
      </c>
      <c r="B10" s="20">
        <f>1000*'Table 1.3'!B11*'Table 1.3.1'!B11</f>
        <v>2206.1143632329527</v>
      </c>
      <c r="C10" s="21">
        <f>C9*(C$12/C$6)^(1/6)</f>
        <v>127.63161368888294</v>
      </c>
      <c r="D10" s="22">
        <v>125.69</v>
      </c>
      <c r="E10" s="20">
        <f t="shared" si="1"/>
        <v>17.285015048157394</v>
      </c>
      <c r="F10" s="20">
        <f t="shared" si="2"/>
        <v>17.552027712888478</v>
      </c>
      <c r="G10" s="22">
        <v>777.6</v>
      </c>
      <c r="H10" s="23">
        <v>6187</v>
      </c>
      <c r="I10" s="20">
        <f>$B10*100/'Table 1.1.1'!$B11</f>
        <v>30011.078264630018</v>
      </c>
      <c r="J10" s="20">
        <f>$F10*100/'Table 1.1.1'!$B11</f>
        <v>238.77061233694025</v>
      </c>
      <c r="K10" s="23">
        <f t="shared" si="0"/>
        <v>73.664266767715048</v>
      </c>
      <c r="L10" s="23">
        <f t="shared" si="0"/>
        <v>71.435169149059007</v>
      </c>
      <c r="M10" s="23">
        <f>100*I10/I$6</f>
        <v>80.067408807547508</v>
      </c>
      <c r="N10" s="23">
        <f t="shared" si="0"/>
        <v>77.639077497384662</v>
      </c>
      <c r="O10" s="23">
        <f>100*$B10*('Table 1.1.1'!$E$7/'Table 1.1.1'!$E11)/$B$6</f>
        <v>71.796755199817937</v>
      </c>
      <c r="P10" s="23">
        <f>100*$F10*('Table 1.1.1'!$E$7/'Table 1.1.1'!$E11)/$F$6</f>
        <v>69.619261120561788</v>
      </c>
      <c r="Q10" s="23">
        <f>100*$B10*('Table 1.1.1'!$H$7/'Table 1.1.1'!$H11)/$B$6</f>
        <v>78.162865908183278</v>
      </c>
      <c r="R10" s="23">
        <f>100*$F10*('Table 1.1.1'!$H$7/'Table 1.1.1'!$H11)/$F$6</f>
        <v>75.792296691523291</v>
      </c>
    </row>
    <row r="11" spans="1:18" ht="12.75" customHeight="1">
      <c r="A11" s="24">
        <v>1934</v>
      </c>
      <c r="B11" s="20">
        <f>1000*'Table 1.3'!B12*'Table 1.3.1'!B12</f>
        <v>2630.4454445847146</v>
      </c>
      <c r="C11" s="21">
        <f>C10*(C$12/C$6)^(1/6)</f>
        <v>128.62430837903466</v>
      </c>
      <c r="D11" s="22">
        <v>126.485</v>
      </c>
      <c r="E11" s="20">
        <f t="shared" si="1"/>
        <v>20.450609046878022</v>
      </c>
      <c r="F11" s="20">
        <f t="shared" si="2"/>
        <v>20.796501123332526</v>
      </c>
      <c r="G11" s="22">
        <v>861.4</v>
      </c>
      <c r="H11" s="23">
        <v>6811</v>
      </c>
      <c r="I11" s="20">
        <f>$B11*100/'Table 1.1.1'!$B12</f>
        <v>33914.97478835372</v>
      </c>
      <c r="J11" s="20">
        <f>$F11*100/'Table 1.1.1'!$B12</f>
        <v>268.1343620852569</v>
      </c>
      <c r="K11" s="23">
        <f t="shared" si="0"/>
        <v>81.602879878741959</v>
      </c>
      <c r="L11" s="23">
        <f t="shared" si="0"/>
        <v>78.639879921487122</v>
      </c>
      <c r="M11" s="23">
        <f>100*I11/I$6</f>
        <v>90.482725316709363</v>
      </c>
      <c r="N11" s="23">
        <f t="shared" si="0"/>
        <v>87.18704665493857</v>
      </c>
      <c r="O11" s="23">
        <f>100*$B11*('Table 1.1.1'!$E$7/'Table 1.1.1'!$E12)/$B$6</f>
        <v>83.998480652793944</v>
      </c>
      <c r="P11" s="23">
        <f>100*$F11*('Table 1.1.1'!$E$7/'Table 1.1.1'!$E12)/$F$6</f>
        <v>80.938979523273261</v>
      </c>
      <c r="Q11" s="23">
        <f>100*$B11*('Table 1.1.1'!$H$7/'Table 1.1.1'!$H12)/$B$6</f>
        <v>90.414962292633774</v>
      </c>
      <c r="R11" s="23">
        <f>100*$F11*('Table 1.1.1'!$H$7/'Table 1.1.1'!$H12)/$F$6</f>
        <v>87.121751783228206</v>
      </c>
    </row>
    <row r="12" spans="1:18" ht="12.75" customHeight="1">
      <c r="A12" s="24">
        <v>1935</v>
      </c>
      <c r="B12" s="20">
        <f>F120</f>
        <v>2987.1875692588656</v>
      </c>
      <c r="C12" s="21">
        <f>C$120/G$120</f>
        <v>129.62472406181016</v>
      </c>
      <c r="D12" s="22">
        <v>127.36199999999999</v>
      </c>
      <c r="E12" s="20">
        <f t="shared" si="1"/>
        <v>23.044890478103987</v>
      </c>
      <c r="F12" s="20">
        <f t="shared" si="2"/>
        <v>23.454307951028294</v>
      </c>
      <c r="G12" s="22">
        <v>938.2</v>
      </c>
      <c r="H12" s="23">
        <v>7366</v>
      </c>
      <c r="I12" s="20">
        <f>$B12*100/'Table 1.1.1'!$B13</f>
        <v>37740.841051912386</v>
      </c>
      <c r="J12" s="20">
        <f>$F12*100/'Table 1.1.1'!$B13</f>
        <v>296.32732723977631</v>
      </c>
      <c r="K12" s="23">
        <f t="shared" si="0"/>
        <v>88.87836301629406</v>
      </c>
      <c r="L12" s="23">
        <f t="shared" si="0"/>
        <v>85.047915945040984</v>
      </c>
      <c r="M12" s="23">
        <f t="shared" si="0"/>
        <v>100.68986267666162</v>
      </c>
      <c r="N12" s="23">
        <f t="shared" si="0"/>
        <v>96.354321409102937</v>
      </c>
      <c r="O12" s="23">
        <f>100*$B12*('Table 1.1.1'!$E$7/'Table 1.1.1'!$E13)/$B$6</f>
        <v>91.936805493544128</v>
      </c>
      <c r="P12" s="23">
        <f>100*$F12*('Table 1.1.1'!$E$7/'Table 1.1.1'!$E13)/$F$6</f>
        <v>87.978156592564275</v>
      </c>
      <c r="Q12" s="23">
        <f>100*$B12*('Table 1.1.1'!$H$7/'Table 1.1.1'!$H13)/$B$6</f>
        <v>100.42867458937855</v>
      </c>
      <c r="R12" s="23">
        <f>100*$F12*('Table 1.1.1'!$H$7/'Table 1.1.1'!$H13)/$F$6</f>
        <v>96.1043796548757</v>
      </c>
    </row>
    <row r="13" spans="1:18" ht="12.75" customHeight="1">
      <c r="A13" s="24">
        <v>1936</v>
      </c>
      <c r="B13" s="20">
        <f>1000*'Table 1.3'!B14*'Table 1.3.1'!B14</f>
        <v>3399.9622457217333</v>
      </c>
      <c r="C13" s="21">
        <f>C12*(C$17/C$12)^(1/5)</f>
        <v>130.60581458644018</v>
      </c>
      <c r="D13" s="22">
        <v>128.18100000000001</v>
      </c>
      <c r="E13" s="20">
        <f t="shared" si="1"/>
        <v>26.032242565062077</v>
      </c>
      <c r="F13" s="20">
        <f t="shared" si="2"/>
        <v>26.524697464692373</v>
      </c>
      <c r="G13" s="22">
        <v>1059.5999999999999</v>
      </c>
      <c r="H13" s="23">
        <v>8266</v>
      </c>
      <c r="I13" s="20">
        <f>$B13*100/'Table 1.1.1'!$B14</f>
        <v>42457.071000521151</v>
      </c>
      <c r="J13" s="20">
        <f>$F13*100/'Table 1.1.1'!$B14</f>
        <v>331.22749081783684</v>
      </c>
      <c r="K13" s="23">
        <f t="shared" si="0"/>
        <v>100.37893141341416</v>
      </c>
      <c r="L13" s="23">
        <f t="shared" si="0"/>
        <v>95.439325712966166</v>
      </c>
      <c r="M13" s="23">
        <f>100*I13/I$6</f>
        <v>113.27242662174659</v>
      </c>
      <c r="N13" s="23">
        <f t="shared" si="0"/>
        <v>107.70252074648526</v>
      </c>
      <c r="O13" s="23">
        <f>100*$B13*('Table 1.1.1'!$E$7/'Table 1.1.1'!$E14)/$B$6</f>
        <v>103.06458399767391</v>
      </c>
      <c r="P13" s="23">
        <f>100*$F13*('Table 1.1.1'!$E$7/'Table 1.1.1'!$E14)/$F$6</f>
        <v>97.996624838848973</v>
      </c>
      <c r="Q13" s="23">
        <f>100*$B13*('Table 1.1.1'!$H$7/'Table 1.1.1'!$H14)/$B$6</f>
        <v>114.30608024272036</v>
      </c>
      <c r="R13" s="23">
        <f>100*$F13*('Table 1.1.1'!$H$7/'Table 1.1.1'!$H14)/$F$6</f>
        <v>108.68534687529565</v>
      </c>
    </row>
    <row r="14" spans="1:18" ht="12.75" customHeight="1">
      <c r="A14" s="24">
        <v>1937</v>
      </c>
      <c r="B14" s="20">
        <f>1000*'Table 1.3'!B15*'Table 1.3.1'!B15</f>
        <v>3709.7280813739958</v>
      </c>
      <c r="C14" s="21">
        <f>C13*(C$17/C$12)^(1/5)</f>
        <v>131.5943306899826</v>
      </c>
      <c r="D14" s="22">
        <v>128.96100000000001</v>
      </c>
      <c r="E14" s="20">
        <f t="shared" si="1"/>
        <v>28.190637559558581</v>
      </c>
      <c r="F14" s="20">
        <f t="shared" si="2"/>
        <v>28.766278808120248</v>
      </c>
      <c r="G14" s="22">
        <v>1113.5999999999999</v>
      </c>
      <c r="H14" s="23">
        <v>8635</v>
      </c>
      <c r="I14" s="20">
        <f>$B14*100/'Table 1.1.1'!$B15</f>
        <v>44406.608587191717</v>
      </c>
      <c r="J14" s="20">
        <f>$F14*100/'Table 1.1.1'!$B15</f>
        <v>344.34137907733123</v>
      </c>
      <c r="K14" s="23">
        <f t="shared" si="0"/>
        <v>105.49450549450549</v>
      </c>
      <c r="L14" s="23">
        <f t="shared" si="0"/>
        <v>99.699803717815499</v>
      </c>
      <c r="M14" s="23">
        <f>100*I14/I$6</f>
        <v>118.47365336745798</v>
      </c>
      <c r="N14" s="23">
        <f t="shared" si="0"/>
        <v>111.96665600545161</v>
      </c>
      <c r="O14" s="23">
        <f>100*$B14*('Table 1.1.1'!$E$7/'Table 1.1.1'!$E15)/$B$6</f>
        <v>110.05264524864718</v>
      </c>
      <c r="P14" s="23">
        <f>100*$F14*('Table 1.1.1'!$E$7/'Table 1.1.1'!$E15)/$F$6</f>
        <v>104.0081598127699</v>
      </c>
      <c r="Q14" s="23">
        <f>100*$B14*('Table 1.1.1'!$H$7/'Table 1.1.1'!$H15)/$B$6</f>
        <v>123.50947120629525</v>
      </c>
      <c r="R14" s="23">
        <f>100*$F14*('Table 1.1.1'!$H$7/'Table 1.1.1'!$H15)/$F$6</f>
        <v>116.72588869255706</v>
      </c>
    </row>
    <row r="15" spans="1:18" ht="12.75" customHeight="1">
      <c r="A15" s="24">
        <v>1938</v>
      </c>
      <c r="B15" s="20">
        <f>1000*'Table 1.3'!B16*'Table 1.3.1'!B16</f>
        <v>3472.6681691597546</v>
      </c>
      <c r="C15" s="21">
        <f>C14*(C$17/C$12)^(1/5)</f>
        <v>132.5903285744094</v>
      </c>
      <c r="D15" s="22">
        <v>129.96899999999999</v>
      </c>
      <c r="E15" s="20">
        <f t="shared" si="1"/>
        <v>26.190961335546437</v>
      </c>
      <c r="F15" s="20">
        <f t="shared" si="2"/>
        <v>26.719203572850102</v>
      </c>
      <c r="G15" s="22">
        <v>1076.7</v>
      </c>
      <c r="H15" s="23">
        <v>8284</v>
      </c>
      <c r="I15" s="20">
        <f>$B15*100/'Table 1.1.1'!$B16</f>
        <v>42787.92717052433</v>
      </c>
      <c r="J15" s="20">
        <f>$F15*100/'Table 1.1.1'!$B16</f>
        <v>329.21640676256902</v>
      </c>
      <c r="K15" s="23">
        <f t="shared" si="0"/>
        <v>101.99886320575976</v>
      </c>
      <c r="L15" s="23">
        <f t="shared" si="0"/>
        <v>95.647153908324668</v>
      </c>
      <c r="M15" s="23">
        <f>100*I15/I$6</f>
        <v>114.15512720273053</v>
      </c>
      <c r="N15" s="23">
        <f t="shared" si="0"/>
        <v>107.04859307384373</v>
      </c>
      <c r="O15" s="23">
        <f>100*$B15*('Table 1.1.1'!$E$7/'Table 1.1.1'!$E16)/$B$6</f>
        <v>101.34317771757172</v>
      </c>
      <c r="P15" s="23">
        <f>100*$F15*('Table 1.1.1'!$E$7/'Table 1.1.1'!$E16)/$F$6</f>
        <v>95.034229807586485</v>
      </c>
      <c r="Q15" s="23">
        <f>100*$B15*('Table 1.1.1'!$H$7/'Table 1.1.1'!$H16)/$B$6</f>
        <v>115.6169400666686</v>
      </c>
      <c r="R15" s="23">
        <f>100*$F15*('Table 1.1.1'!$H$7/'Table 1.1.1'!$H16)/$F$6</f>
        <v>108.41940325343303</v>
      </c>
    </row>
    <row r="16" spans="1:18" ht="12.75" customHeight="1">
      <c r="A16" s="24">
        <v>1939</v>
      </c>
      <c r="B16" s="20">
        <f>B12*(B17/B12)^(4/5)</f>
        <v>3815.7036799979346</v>
      </c>
      <c r="C16" s="21">
        <f>C15*(C$17/C$12)^(1/5)</f>
        <v>133.59386486706839</v>
      </c>
      <c r="D16" s="22">
        <v>131.02799999999999</v>
      </c>
      <c r="E16" s="20">
        <f t="shared" si="1"/>
        <v>28.561967900208014</v>
      </c>
      <c r="F16" s="20">
        <f t="shared" si="2"/>
        <v>29.121284610907097</v>
      </c>
      <c r="G16" s="22">
        <v>1162.5999999999999</v>
      </c>
      <c r="H16" s="23">
        <v>8873</v>
      </c>
      <c r="I16" s="20">
        <f>$B16*100/'Table 1.1.1'!$B17</f>
        <v>47459.000994999187</v>
      </c>
      <c r="J16" s="20">
        <f>$F16*100/'Table 1.1.1'!$B17</f>
        <v>362.20503247396891</v>
      </c>
      <c r="K16" s="23">
        <f t="shared" si="0"/>
        <v>110.1364153088291</v>
      </c>
      <c r="L16" s="23">
        <f t="shared" si="0"/>
        <v>102.44775430088904</v>
      </c>
      <c r="M16" s="23">
        <f t="shared" si="0"/>
        <v>126.61721784061497</v>
      </c>
      <c r="N16" s="23">
        <f t="shared" si="0"/>
        <v>117.77523335453856</v>
      </c>
      <c r="O16" s="23">
        <f>100*$B16*('Table 1.1.1'!$E$7/'Table 1.1.1'!$E17)/$B$6</f>
        <v>111.98369334560802</v>
      </c>
      <c r="P16" s="23">
        <f>100*$F16*('Table 1.1.1'!$E$7/'Table 1.1.1'!$E17)/$F$6</f>
        <v>104.16360302817731</v>
      </c>
      <c r="Q16" s="23">
        <f>100*$B16*('Table 1.1.1'!$H$7/'Table 1.1.1'!$H17)/$B$6</f>
        <v>127.0377594958147</v>
      </c>
      <c r="R16" s="23">
        <f>100*$F16*('Table 1.1.1'!$H$7/'Table 1.1.1'!$H17)/$F$6</f>
        <v>118.16640757571591</v>
      </c>
    </row>
    <row r="17" spans="1:18" ht="18" customHeight="1">
      <c r="A17" s="24">
        <v>1940</v>
      </c>
      <c r="B17" s="20">
        <f>F121</f>
        <v>4056.5111848212186</v>
      </c>
      <c r="C17" s="21">
        <f>C$121/G$121</f>
        <v>134.60499662390276</v>
      </c>
      <c r="D17" s="22">
        <v>132.12200000000001</v>
      </c>
      <c r="E17" s="20">
        <f t="shared" si="1"/>
        <v>30.136408651719211</v>
      </c>
      <c r="F17" s="20">
        <f t="shared" si="2"/>
        <v>30.702768538329863</v>
      </c>
      <c r="G17" s="22">
        <v>1265</v>
      </c>
      <c r="H17" s="23">
        <v>9574</v>
      </c>
      <c r="I17" s="20">
        <f>$B17*100/'Table 1.1.1'!$B18</f>
        <v>49846.537046217971</v>
      </c>
      <c r="J17" s="20">
        <f>$F17*100/'Table 1.1.1'!$B18</f>
        <v>377.27658562705659</v>
      </c>
      <c r="K17" s="23">
        <f t="shared" si="0"/>
        <v>119.83705949223192</v>
      </c>
      <c r="L17" s="23">
        <f t="shared" si="0"/>
        <v>110.54150790901744</v>
      </c>
      <c r="M17" s="23">
        <f t="shared" si="0"/>
        <v>132.98699314059115</v>
      </c>
      <c r="N17" s="23">
        <f t="shared" si="0"/>
        <v>122.67592641641035</v>
      </c>
      <c r="O17" s="23">
        <f>100*$B17*('Table 1.1.1'!$E$7/'Table 1.1.1'!$E18)/$B$6</f>
        <v>116.31612496096274</v>
      </c>
      <c r="P17" s="23">
        <f>100*$F17*('Table 1.1.1'!$E$7/'Table 1.1.1'!$E18)/$F$6</f>
        <v>107.2976239989723</v>
      </c>
      <c r="Q17" s="23">
        <f>100*$B17*('Table 1.1.1'!$H$7/'Table 1.1.1'!$H18)/$B$6</f>
        <v>133.75645439229501</v>
      </c>
      <c r="R17" s="23">
        <f>100*$F17*('Table 1.1.1'!$H$7/'Table 1.1.1'!$H18)/$F$6</f>
        <v>123.38572795162146</v>
      </c>
    </row>
    <row r="18" spans="1:18" ht="12.75" customHeight="1">
      <c r="A18" s="24">
        <v>1941</v>
      </c>
      <c r="B18" s="20">
        <f>1000*'Table 1.3'!B19*'Table 1.3.1'!B19</f>
        <v>5152.9818372534055</v>
      </c>
      <c r="C18" s="21">
        <f>C17*(C$25/C$17)^(1/8)</f>
        <v>136.38570039011208</v>
      </c>
      <c r="D18" s="22">
        <v>133.40199999999999</v>
      </c>
      <c r="E18" s="20">
        <f t="shared" si="1"/>
        <v>37.78242016951944</v>
      </c>
      <c r="F18" s="20">
        <f t="shared" si="2"/>
        <v>38.627470632025052</v>
      </c>
      <c r="G18" s="22">
        <v>1488.9</v>
      </c>
      <c r="H18" s="23">
        <v>11161</v>
      </c>
      <c r="I18" s="20">
        <f>$B18*100/'Table 1.1.1'!$B19</f>
        <v>59311.485235421329</v>
      </c>
      <c r="J18" s="20">
        <f>$F18*100/'Table 1.1.1'!$B19</f>
        <v>444.60716657487393</v>
      </c>
      <c r="K18" s="23">
        <f t="shared" si="0"/>
        <v>141.0477453580902</v>
      </c>
      <c r="L18" s="23">
        <f t="shared" si="0"/>
        <v>128.86502713312549</v>
      </c>
      <c r="M18" s="23">
        <f t="shared" si="0"/>
        <v>158.23879746847356</v>
      </c>
      <c r="N18" s="23">
        <f t="shared" si="0"/>
        <v>144.5692580160914</v>
      </c>
      <c r="O18" s="23">
        <f>100*$B18*('Table 1.1.1'!$E$7/'Table 1.1.1'!$E19)/$B$6</f>
        <v>144.72621547189692</v>
      </c>
      <c r="P18" s="23">
        <f>100*$F18*('Table 1.1.1'!$E$7/'Table 1.1.1'!$E19)/$F$6</f>
        <v>132.22396732645578</v>
      </c>
      <c r="Q18" s="23">
        <f>100*$B18*('Table 1.1.1'!$H$7/'Table 1.1.1'!$H19)/$B$6</f>
        <v>169.91068154278651</v>
      </c>
      <c r="R18" s="23">
        <f>100*$F18*('Table 1.1.1'!$H$7/'Table 1.1.1'!$H19)/$F$6</f>
        <v>155.23286041492435</v>
      </c>
    </row>
    <row r="19" spans="1:18" ht="12.75" customHeight="1">
      <c r="A19" s="24">
        <v>1942</v>
      </c>
      <c r="B19" s="20">
        <f>1000*'Table 1.3'!B20*'Table 1.3.1'!B20</f>
        <v>6677.5854741839148</v>
      </c>
      <c r="C19" s="21">
        <f t="shared" ref="C19:C24" si="3">C18*(C$25/C$17)^(1/8)</f>
        <v>138.18996127516931</v>
      </c>
      <c r="D19" s="22">
        <v>134.86000000000001</v>
      </c>
      <c r="E19" s="20">
        <f t="shared" si="1"/>
        <v>48.321784104760276</v>
      </c>
      <c r="F19" s="20">
        <f t="shared" si="2"/>
        <v>49.514944936852395</v>
      </c>
      <c r="G19" s="22">
        <v>1770.3</v>
      </c>
      <c r="H19" s="23">
        <v>13127</v>
      </c>
      <c r="I19" s="20">
        <f>$B19*100/'Table 1.1.1'!$B20</f>
        <v>71212.386415526431</v>
      </c>
      <c r="J19" s="20">
        <f>$F19*100/'Table 1.1.1'!$B20</f>
        <v>528.04676268371963</v>
      </c>
      <c r="K19" s="23">
        <f t="shared" si="0"/>
        <v>167.70557029177721</v>
      </c>
      <c r="L19" s="23">
        <f t="shared" si="0"/>
        <v>151.56448447061541</v>
      </c>
      <c r="M19" s="23">
        <f t="shared" si="0"/>
        <v>189.98955002602904</v>
      </c>
      <c r="N19" s="23">
        <f t="shared" si="0"/>
        <v>171.70062567160295</v>
      </c>
      <c r="O19" s="23">
        <f>100*$B19*('Table 1.1.1'!$E$7/'Table 1.1.1'!$E20)/$B$6</f>
        <v>178.39999340209664</v>
      </c>
      <c r="P19" s="23">
        <f>100*$F19*('Table 1.1.1'!$E$7/'Table 1.1.1'!$E20)/$F$6</f>
        <v>161.22671211523604</v>
      </c>
      <c r="Q19" s="23">
        <f>100*$B19*('Table 1.1.1'!$H$7/'Table 1.1.1'!$H20)/$B$6</f>
        <v>214.00853182511889</v>
      </c>
      <c r="R19" s="23">
        <f>100*$F19*('Table 1.1.1'!$H$7/'Table 1.1.1'!$H20)/$F$6</f>
        <v>193.40747324471187</v>
      </c>
    </row>
    <row r="20" spans="1:18" ht="12.75" customHeight="1">
      <c r="A20" s="24">
        <v>1943</v>
      </c>
      <c r="B20" s="20">
        <f>1000*'Table 1.3'!B21*'Table 1.3.1'!B21</f>
        <v>8252.9330781596036</v>
      </c>
      <c r="C20" s="21">
        <f t="shared" si="3"/>
        <v>140.01809091869634</v>
      </c>
      <c r="D20" s="22">
        <v>136.739</v>
      </c>
      <c r="E20" s="20">
        <f t="shared" si="1"/>
        <v>58.941905463857495</v>
      </c>
      <c r="F20" s="20">
        <f t="shared" si="2"/>
        <v>60.355371021870887</v>
      </c>
      <c r="G20" s="22">
        <v>2072</v>
      </c>
      <c r="H20" s="23">
        <v>15153</v>
      </c>
      <c r="I20" s="20">
        <f>$B20*100/'Table 1.1.1'!$B21</f>
        <v>84187.831053346963</v>
      </c>
      <c r="J20" s="20">
        <f>$F20*100/'Table 1.1.1'!$B21</f>
        <v>615.68265859299072</v>
      </c>
      <c r="K20" s="23">
        <f t="shared" si="0"/>
        <v>196.28647214854112</v>
      </c>
      <c r="L20" s="23">
        <f t="shared" si="0"/>
        <v>174.95670245930032</v>
      </c>
      <c r="M20" s="23">
        <f t="shared" si="0"/>
        <v>224.60710761976932</v>
      </c>
      <c r="N20" s="23">
        <f t="shared" si="0"/>
        <v>200.19646964276652</v>
      </c>
      <c r="O20" s="23">
        <f>100*$B20*('Table 1.1.1'!$E$7/'Table 1.1.1'!$E21)/$B$6</f>
        <v>208.24433307887443</v>
      </c>
      <c r="P20" s="23">
        <f>100*$F20*('Table 1.1.1'!$E$7/'Table 1.1.1'!$E21)/$F$6</f>
        <v>185.61202602759315</v>
      </c>
      <c r="Q20" s="23">
        <f>100*$B20*('Table 1.1.1'!$H$7/'Table 1.1.1'!$H21)/$B$6</f>
        <v>252.68863554874468</v>
      </c>
      <c r="R20" s="23">
        <f>100*$F20*('Table 1.1.1'!$H$7/'Table 1.1.1'!$H21)/$F$6</f>
        <v>225.22605491783543</v>
      </c>
    </row>
    <row r="21" spans="1:18" ht="12.75" customHeight="1">
      <c r="A21" s="24">
        <v>1944</v>
      </c>
      <c r="B21" s="20">
        <f>1000*'Table 1.3'!B22*'Table 1.3.1'!B22</f>
        <v>9219.2413473676879</v>
      </c>
      <c r="C21" s="21">
        <f t="shared" si="3"/>
        <v>141.87040508302869</v>
      </c>
      <c r="D21" s="22">
        <v>138.39699999999999</v>
      </c>
      <c r="E21" s="20">
        <f t="shared" si="1"/>
        <v>64.983541436793601</v>
      </c>
      <c r="F21" s="20">
        <f t="shared" si="2"/>
        <v>66.614459470708823</v>
      </c>
      <c r="G21" s="22">
        <v>2237.5</v>
      </c>
      <c r="H21" s="23">
        <v>16167</v>
      </c>
      <c r="I21" s="20">
        <f>$B21*100/'Table 1.1.1'!$B22</f>
        <v>91861.711312950254</v>
      </c>
      <c r="J21" s="20">
        <f>$F21*100/'Table 1.1.1'!$B22</f>
        <v>663.75507643193328</v>
      </c>
      <c r="K21" s="23">
        <f t="shared" si="0"/>
        <v>211.96475937855249</v>
      </c>
      <c r="L21" s="23">
        <f t="shared" si="0"/>
        <v>186.66435746449602</v>
      </c>
      <c r="M21" s="23">
        <f t="shared" si="0"/>
        <v>245.08047090475227</v>
      </c>
      <c r="N21" s="23">
        <f t="shared" si="0"/>
        <v>215.82778263206143</v>
      </c>
      <c r="O21" s="23">
        <f>100*$B21*('Table 1.1.1'!$E$7/'Table 1.1.1'!$E22)/$B$6</f>
        <v>220.60329415705803</v>
      </c>
      <c r="P21" s="23">
        <f>100*$F21*('Table 1.1.1'!$E$7/'Table 1.1.1'!$E22)/$F$6</f>
        <v>194.27219004222582</v>
      </c>
      <c r="Q21" s="23">
        <f>100*$B21*('Table 1.1.1'!$H$7/'Table 1.1.1'!$H22)/$B$6</f>
        <v>272.54147667282706</v>
      </c>
      <c r="R21" s="23">
        <f>100*$F21*('Table 1.1.1'!$H$7/'Table 1.1.1'!$H22)/$F$6</f>
        <v>240.01105583163525</v>
      </c>
    </row>
    <row r="22" spans="1:18" ht="12.75" customHeight="1">
      <c r="A22" s="24">
        <v>1945</v>
      </c>
      <c r="B22" s="20">
        <f>1000*'Table 1.3'!B23*'Table 1.3.1'!B23</f>
        <v>9462.1124474843618</v>
      </c>
      <c r="C22" s="21">
        <f t="shared" si="3"/>
        <v>143.74722370775521</v>
      </c>
      <c r="D22" s="22">
        <v>139.928</v>
      </c>
      <c r="E22" s="20">
        <f t="shared" si="1"/>
        <v>65.82466223292964</v>
      </c>
      <c r="F22" s="20">
        <f t="shared" si="2"/>
        <v>67.621294147592778</v>
      </c>
      <c r="G22" s="22">
        <v>2215.9</v>
      </c>
      <c r="H22" s="23">
        <v>15836</v>
      </c>
      <c r="I22" s="20">
        <f>$B22*100/'Table 1.1.1'!$B23</f>
        <v>91891.934034032834</v>
      </c>
      <c r="J22" s="20">
        <f>$F22*100/'Table 1.1.1'!$B23</f>
        <v>656.70869328535275</v>
      </c>
      <c r="K22" s="23">
        <f t="shared" ref="K22:N37" si="4">100*G22/G$6</f>
        <v>209.91852974611598</v>
      </c>
      <c r="L22" s="23">
        <f t="shared" si="4"/>
        <v>182.84262787207021</v>
      </c>
      <c r="M22" s="23">
        <f t="shared" si="4"/>
        <v>245.16110296145007</v>
      </c>
      <c r="N22" s="23">
        <f t="shared" si="4"/>
        <v>213.53656814029799</v>
      </c>
      <c r="O22" s="23">
        <f>100*$B22*('Table 1.1.1'!$E$7/'Table 1.1.1'!$E23)/$B$6</f>
        <v>218.97573568017083</v>
      </c>
      <c r="P22" s="23">
        <f>100*$F22*('Table 1.1.1'!$E$7/'Table 1.1.1'!$E23)/$F$6</f>
        <v>190.72897999848394</v>
      </c>
      <c r="Q22" s="23">
        <f>100*$B22*('Table 1.1.1'!$H$7/'Table 1.1.1'!$H23)/$B$6</f>
        <v>272.66949450447629</v>
      </c>
      <c r="R22" s="23">
        <f>100*$F22*('Table 1.1.1'!$H$7/'Table 1.1.1'!$H23)/$F$6</f>
        <v>237.49651714607916</v>
      </c>
    </row>
    <row r="23" spans="1:18" ht="12.75" customHeight="1">
      <c r="A23" s="24">
        <v>1946</v>
      </c>
      <c r="B23" s="20">
        <f>1000*'Table 1.3'!B24*'Table 1.3.1'!B24</f>
        <v>9541.4244730629689</v>
      </c>
      <c r="C23" s="21">
        <f t="shared" si="3"/>
        <v>145.64887096497952</v>
      </c>
      <c r="D23" s="22">
        <v>141.38900000000001</v>
      </c>
      <c r="E23" s="20">
        <f t="shared" si="1"/>
        <v>65.509772989295286</v>
      </c>
      <c r="F23" s="20">
        <f t="shared" si="2"/>
        <v>67.483499233058922</v>
      </c>
      <c r="G23" s="22">
        <v>1959</v>
      </c>
      <c r="H23" s="23">
        <v>13856</v>
      </c>
      <c r="I23" s="20">
        <f>$B23*100/'Table 1.1.1'!$B24</f>
        <v>82048.537905778387</v>
      </c>
      <c r="J23" s="20">
        <f>$F23*100/'Table 1.1.1'!$B24</f>
        <v>580.30354487108889</v>
      </c>
      <c r="K23" s="23">
        <f t="shared" si="4"/>
        <v>185.58165971959076</v>
      </c>
      <c r="L23" s="23">
        <f t="shared" si="4"/>
        <v>159.9815263826348</v>
      </c>
      <c r="M23" s="23">
        <f t="shared" si="4"/>
        <v>218.89962661908061</v>
      </c>
      <c r="N23" s="23">
        <f t="shared" si="4"/>
        <v>188.69253402372399</v>
      </c>
      <c r="O23" s="23">
        <f>100*$B23*('Table 1.1.1'!$E$7/'Table 1.1.1'!$E24)/$B$6</f>
        <v>207.10467552839339</v>
      </c>
      <c r="P23" s="23">
        <f>100*$F23*('Table 1.1.1'!$E$7/'Table 1.1.1'!$E24)/$F$6</f>
        <v>178.52522928975753</v>
      </c>
      <c r="Q23" s="23">
        <f>100*$B23*('Table 1.1.1'!$H$7/'Table 1.1.1'!$H24)/$B$6</f>
        <v>261.75718615148298</v>
      </c>
      <c r="R23" s="23">
        <f>100*$F23*('Table 1.1.1'!$H$7/'Table 1.1.1'!$H24)/$F$6</f>
        <v>225.63595706717237</v>
      </c>
    </row>
    <row r="24" spans="1:18" ht="12.75" customHeight="1">
      <c r="A24" s="24">
        <v>1947</v>
      </c>
      <c r="B24" s="20">
        <f>1000*'Table 1.3'!B25*'Table 1.3.1'!B25</f>
        <v>10573.354312844365</v>
      </c>
      <c r="C24" s="21">
        <f t="shared" si="3"/>
        <v>147.57567531531237</v>
      </c>
      <c r="D24" s="22">
        <v>144.126</v>
      </c>
      <c r="E24" s="20">
        <f t="shared" si="1"/>
        <v>71.646999346289149</v>
      </c>
      <c r="F24" s="20">
        <f t="shared" si="2"/>
        <v>73.361879971999258</v>
      </c>
      <c r="G24" s="22">
        <v>1937.6</v>
      </c>
      <c r="H24" s="23">
        <v>13444</v>
      </c>
      <c r="I24" s="20">
        <f>$B24*100/'Table 1.1.1'!$B25</f>
        <v>81963.986921274147</v>
      </c>
      <c r="J24" s="20">
        <f>$F24*100/'Table 1.1.1'!$B25</f>
        <v>568.69674396898654</v>
      </c>
      <c r="K24" s="23">
        <f t="shared" si="4"/>
        <v>183.55437665782495</v>
      </c>
      <c r="L24" s="23">
        <f t="shared" si="4"/>
        <v>155.22456991109573</v>
      </c>
      <c r="M24" s="23">
        <f t="shared" si="4"/>
        <v>218.67405064404608</v>
      </c>
      <c r="N24" s="23">
        <f t="shared" si="4"/>
        <v>184.91844597362763</v>
      </c>
      <c r="O24" s="23">
        <f>100*$B24*('Table 1.1.1'!$E$7/'Table 1.1.1'!$E25)/$B$6</f>
        <v>209.02862523486556</v>
      </c>
      <c r="P24" s="23">
        <f>100*$F24*('Table 1.1.1'!$E$7/'Table 1.1.1'!$E25)/$F$6</f>
        <v>176.76193598916882</v>
      </c>
      <c r="Q24" s="23">
        <f>100*$B24*('Table 1.1.1'!$H$7/'Table 1.1.1'!$H25)/$B$6</f>
        <v>268.58046826414352</v>
      </c>
      <c r="R24" s="23">
        <f>100*$F24*('Table 1.1.1'!$H$7/'Table 1.1.1'!$H25)/$F$6</f>
        <v>227.12106289702956</v>
      </c>
    </row>
    <row r="25" spans="1:18" ht="12.75" customHeight="1">
      <c r="A25" s="24">
        <v>1948</v>
      </c>
      <c r="B25" s="20">
        <f t="shared" ref="B25:B36" si="5">F122</f>
        <v>10797.014470359361</v>
      </c>
      <c r="C25" s="21">
        <f>C122/G122</f>
        <v>149.52796956460477</v>
      </c>
      <c r="D25" s="22">
        <v>146.631</v>
      </c>
      <c r="E25" s="20">
        <f t="shared" si="1"/>
        <v>72.207323498059168</v>
      </c>
      <c r="F25" s="20">
        <f t="shared" si="2"/>
        <v>73.633914181580707</v>
      </c>
      <c r="G25" s="22">
        <v>2018</v>
      </c>
      <c r="H25" s="23">
        <v>13762</v>
      </c>
      <c r="I25" s="20">
        <f>$B25*100/'Table 1.1.1'!$B26</f>
        <v>79284.876416209139</v>
      </c>
      <c r="J25" s="20">
        <f>$F25*100/'Table 1.1.1'!$B26</f>
        <v>540.71019372580929</v>
      </c>
      <c r="K25" s="23">
        <f t="shared" si="4"/>
        <v>191.1708980674498</v>
      </c>
      <c r="L25" s="23">
        <f t="shared" si="4"/>
        <v>158.89620136242928</v>
      </c>
      <c r="M25" s="23">
        <f t="shared" si="4"/>
        <v>211.52637557025679</v>
      </c>
      <c r="N25" s="23">
        <f t="shared" si="4"/>
        <v>175.81828945960788</v>
      </c>
      <c r="O25" s="23">
        <f>100*$B25*('Table 1.1.1'!$E$7/'Table 1.1.1'!$E26)/$B$6</f>
        <v>202.14350348033275</v>
      </c>
      <c r="P25" s="23">
        <f>100*$F25*('Table 1.1.1'!$E$7/'Table 1.1.1'!$E26)/$F$6</f>
        <v>168.01935414186627</v>
      </c>
      <c r="Q25" s="23">
        <f>100*$B25*('Table 1.1.1'!$H$7/'Table 1.1.1'!$H26)/$B$6</f>
        <v>257.12043895637839</v>
      </c>
      <c r="R25" s="23">
        <f>100*$F25*('Table 1.1.1'!$H$7/'Table 1.1.1'!$H26)/$F$6</f>
        <v>213.71555032104729</v>
      </c>
    </row>
    <row r="26" spans="1:18" ht="12.75" customHeight="1">
      <c r="A26" s="24">
        <v>1949</v>
      </c>
      <c r="B26" s="20">
        <f t="shared" si="5"/>
        <v>11777.821288058798</v>
      </c>
      <c r="C26" s="21">
        <f t="shared" ref="C26:C36" si="6">C123/G123</f>
        <v>152.09565103140193</v>
      </c>
      <c r="D26" s="22">
        <v>149.18799999999999</v>
      </c>
      <c r="E26" s="20">
        <f t="shared" si="1"/>
        <v>77.43693661317856</v>
      </c>
      <c r="F26" s="20">
        <f t="shared" si="2"/>
        <v>78.946170523492498</v>
      </c>
      <c r="G26" s="22">
        <v>2007</v>
      </c>
      <c r="H26" s="23">
        <v>13453</v>
      </c>
      <c r="I26" s="20">
        <f>$B26*100/'Table 1.1.1'!$B27</f>
        <v>86639.850581571271</v>
      </c>
      <c r="J26" s="20">
        <f>$F26*100/'Table 1.1.1'!$B27</f>
        <v>580.74275800715395</v>
      </c>
      <c r="K26" s="23">
        <f t="shared" si="4"/>
        <v>190.12883668056082</v>
      </c>
      <c r="L26" s="23">
        <f t="shared" si="4"/>
        <v>155.32848400877498</v>
      </c>
      <c r="M26" s="23">
        <f t="shared" si="4"/>
        <v>231.14892022107827</v>
      </c>
      <c r="N26" s="23">
        <f t="shared" si="4"/>
        <v>188.83534934917412</v>
      </c>
      <c r="O26" s="23">
        <f>100*$B26*('Table 1.1.1'!$E$7/'Table 1.1.1'!$E27)/$B$6</f>
        <v>217.12597704096231</v>
      </c>
      <c r="P26" s="23">
        <f>100*$F26*('Table 1.1.1'!$E$7/'Table 1.1.1'!$E27)/$F$6</f>
        <v>177.37941275302578</v>
      </c>
      <c r="Q26" s="23">
        <f>100*$B26*('Table 1.1.1'!$H$7/'Table 1.1.1'!$H27)/$B$6</f>
        <v>272.89693271494099</v>
      </c>
      <c r="R26" s="23">
        <f>100*$F26*('Table 1.1.1'!$H$7/'Table 1.1.1'!$H27)/$F$6</f>
        <v>222.94107009566176</v>
      </c>
    </row>
    <row r="27" spans="1:18" ht="18" customHeight="1">
      <c r="A27" s="24">
        <v>1950</v>
      </c>
      <c r="B27" s="20">
        <f t="shared" si="5"/>
        <v>12882.755109657955</v>
      </c>
      <c r="C27" s="21">
        <f t="shared" si="6"/>
        <v>154.67871976545322</v>
      </c>
      <c r="D27" s="22">
        <v>151.684</v>
      </c>
      <c r="E27" s="20">
        <f t="shared" si="1"/>
        <v>83.287184747796573</v>
      </c>
      <c r="F27" s="20">
        <f t="shared" si="2"/>
        <v>84.931536020001815</v>
      </c>
      <c r="G27" s="22">
        <v>2181.9</v>
      </c>
      <c r="H27" s="23">
        <v>14384</v>
      </c>
      <c r="I27" s="20">
        <f>$B27*100/'Table 1.1.1'!$B28</f>
        <v>93631.478375303108</v>
      </c>
      <c r="J27" s="20">
        <f>$F27*100/'Table 1.1.1'!$B28</f>
        <v>617.27986060034755</v>
      </c>
      <c r="K27" s="23">
        <f t="shared" si="4"/>
        <v>206.69761273209551</v>
      </c>
      <c r="L27" s="23">
        <f t="shared" si="4"/>
        <v>166.07782011315089</v>
      </c>
      <c r="M27" s="23">
        <f t="shared" si="4"/>
        <v>249.80208275841704</v>
      </c>
      <c r="N27" s="23">
        <f t="shared" si="4"/>
        <v>200.71581869169034</v>
      </c>
      <c r="O27" s="23">
        <f>100*$B27*('Table 1.1.1'!$E$7/'Table 1.1.1'!$E28)/$B$6</f>
        <v>233.13708756364164</v>
      </c>
      <c r="P27" s="23">
        <f>100*$F27*('Table 1.1.1'!$E$7/'Table 1.1.1'!$E28)/$F$6</f>
        <v>187.3255053801424</v>
      </c>
      <c r="Q27" s="23">
        <f>100*$B27*('Table 1.1.1'!$H$7/'Table 1.1.1'!$H28)/$B$6</f>
        <v>292.56826316918216</v>
      </c>
      <c r="R27" s="23">
        <f>100*$F27*('Table 1.1.1'!$H$7/'Table 1.1.1'!$H28)/$F$6</f>
        <v>235.07841814913627</v>
      </c>
    </row>
    <row r="28" spans="1:18" ht="12.75" customHeight="1">
      <c r="A28" s="24">
        <v>1951</v>
      </c>
      <c r="B28" s="20">
        <f t="shared" si="5"/>
        <v>14235.942939056556</v>
      </c>
      <c r="C28" s="21">
        <f t="shared" si="6"/>
        <v>157.3018549747049</v>
      </c>
      <c r="D28" s="22">
        <v>154.28700000000001</v>
      </c>
      <c r="E28" s="20">
        <f t="shared" si="1"/>
        <v>90.500795056395134</v>
      </c>
      <c r="F28" s="20">
        <f t="shared" si="2"/>
        <v>92.269231620658616</v>
      </c>
      <c r="G28" s="22">
        <v>2357.6999999999998</v>
      </c>
      <c r="H28" s="23">
        <v>15281</v>
      </c>
      <c r="I28" s="20">
        <f>$B28*100/'Table 1.1.1'!$B29</f>
        <v>96645.912688774988</v>
      </c>
      <c r="J28" s="20">
        <f>$F28*100/'Table 1.1.1'!$B29</f>
        <v>626.40347332422675</v>
      </c>
      <c r="K28" s="23">
        <f t="shared" si="4"/>
        <v>223.35164835164835</v>
      </c>
      <c r="L28" s="23">
        <f t="shared" si="4"/>
        <v>176.43459184851633</v>
      </c>
      <c r="M28" s="23">
        <f t="shared" si="4"/>
        <v>257.84437775268611</v>
      </c>
      <c r="N28" s="23">
        <f t="shared" si="4"/>
        <v>203.68246885182731</v>
      </c>
      <c r="O28" s="23">
        <f>100*$B28*('Table 1.1.1'!$E$7/'Table 1.1.1'!$E29)/$B$6</f>
        <v>246.75714013682924</v>
      </c>
      <c r="P28" s="23">
        <f>100*$F28*('Table 1.1.1'!$E$7/'Table 1.1.1'!$E29)/$F$6</f>
        <v>194.9241784829342</v>
      </c>
      <c r="Q28" s="23">
        <f>100*$B28*('Table 1.1.1'!$H$7/'Table 1.1.1'!$H29)/$B$6</f>
        <v>307.03262367651973</v>
      </c>
      <c r="R28" s="23">
        <f>100*$F28*('Table 1.1.1'!$H$7/'Table 1.1.1'!$H29)/$F$6</f>
        <v>242.53839991993405</v>
      </c>
    </row>
    <row r="29" spans="1:18" ht="12.75" customHeight="1">
      <c r="A29" s="24">
        <v>1952</v>
      </c>
      <c r="B29" s="20">
        <f t="shared" si="5"/>
        <v>15249.307659418215</v>
      </c>
      <c r="C29" s="21">
        <f t="shared" si="6"/>
        <v>159.97438360550754</v>
      </c>
      <c r="D29" s="22">
        <v>156.95400000000001</v>
      </c>
      <c r="E29" s="20">
        <f t="shared" si="1"/>
        <v>95.323434388236748</v>
      </c>
      <c r="F29" s="20">
        <f t="shared" si="2"/>
        <v>97.157814770048645</v>
      </c>
      <c r="G29" s="22">
        <v>2453.6999999999998</v>
      </c>
      <c r="H29" s="23">
        <v>15633</v>
      </c>
      <c r="I29" s="20">
        <f>$B29*100/'Table 1.1.1'!$B30</f>
        <v>101757.02428545452</v>
      </c>
      <c r="J29" s="20">
        <f>$F29*100/'Table 1.1.1'!$B30</f>
        <v>648.32386740990682</v>
      </c>
      <c r="K29" s="23">
        <f t="shared" si="4"/>
        <v>232.44600227358848</v>
      </c>
      <c r="L29" s="23">
        <f t="shared" si="4"/>
        <v>180.49878766886042</v>
      </c>
      <c r="M29" s="23">
        <f t="shared" si="4"/>
        <v>271.48045767170208</v>
      </c>
      <c r="N29" s="23">
        <f t="shared" si="4"/>
        <v>210.8101432273896</v>
      </c>
      <c r="O29" s="23">
        <f>100*$B29*('Table 1.1.1'!$E$7/'Table 1.1.1'!$E30)/$B$6</f>
        <v>254.22297751998195</v>
      </c>
      <c r="P29" s="23">
        <f>100*$F29*('Table 1.1.1'!$E$7/'Table 1.1.1'!$E30)/$F$6</f>
        <v>197.4093559525744</v>
      </c>
      <c r="Q29" s="23">
        <f>100*$B29*('Table 1.1.1'!$H$7/'Table 1.1.1'!$H30)/$B$6</f>
        <v>313.13316301467592</v>
      </c>
      <c r="R29" s="23">
        <f>100*$F29*('Table 1.1.1'!$H$7/'Table 1.1.1'!$H30)/$F$6</f>
        <v>243.15432318961399</v>
      </c>
    </row>
    <row r="30" spans="1:18" ht="12.75" customHeight="1">
      <c r="A30" s="24">
        <v>1953</v>
      </c>
      <c r="B30" s="20">
        <f t="shared" si="5"/>
        <v>16019.505544271404</v>
      </c>
      <c r="C30" s="21">
        <f t="shared" si="6"/>
        <v>162.58777364725319</v>
      </c>
      <c r="D30" s="22">
        <v>159.565</v>
      </c>
      <c r="E30" s="20">
        <f t="shared" si="1"/>
        <v>98.52835293154925</v>
      </c>
      <c r="F30" s="20">
        <f t="shared" si="2"/>
        <v>100.39485817235236</v>
      </c>
      <c r="G30" s="22">
        <v>2568.9</v>
      </c>
      <c r="H30" s="23">
        <v>16099</v>
      </c>
      <c r="I30" s="20">
        <f>$B30*100/'Table 1.1.1'!$B31</f>
        <v>105592.94406612223</v>
      </c>
      <c r="J30" s="20">
        <f>$F30*100/'Table 1.1.1'!$B31</f>
        <v>661.75504694715153</v>
      </c>
      <c r="K30" s="23">
        <f t="shared" si="4"/>
        <v>243.35922697991666</v>
      </c>
      <c r="L30" s="23">
        <f t="shared" si="4"/>
        <v>185.87922872647499</v>
      </c>
      <c r="M30" s="23">
        <f t="shared" si="4"/>
        <v>281.71441709573429</v>
      </c>
      <c r="N30" s="23">
        <f t="shared" si="4"/>
        <v>215.17744948324454</v>
      </c>
      <c r="O30" s="23">
        <f>100*$B30*('Table 1.1.1'!$E$7/'Table 1.1.1'!$E31)/$B$6</f>
        <v>257.65419294521428</v>
      </c>
      <c r="P30" s="23">
        <f>100*$F30*('Table 1.1.1'!$E$7/'Table 1.1.1'!$E31)/$F$6</f>
        <v>196.79991055542772</v>
      </c>
      <c r="Q30" s="23">
        <f>100*$B30*('Table 1.1.1'!$H$7/'Table 1.1.1'!$H31)/$B$6</f>
        <v>317.5399802802682</v>
      </c>
      <c r="R30" s="23">
        <f>100*$F30*('Table 1.1.1'!$H$7/'Table 1.1.1'!$H31)/$F$6</f>
        <v>242.54152048756637</v>
      </c>
    </row>
    <row r="31" spans="1:18" ht="12.75" customHeight="1">
      <c r="A31" s="24">
        <v>1954</v>
      </c>
      <c r="B31" s="20">
        <f t="shared" si="5"/>
        <v>17091.881463208341</v>
      </c>
      <c r="C31" s="21">
        <f t="shared" si="6"/>
        <v>165.44219026984439</v>
      </c>
      <c r="D31" s="22">
        <v>162.39099999999999</v>
      </c>
      <c r="E31" s="20">
        <f t="shared" si="1"/>
        <v>103.3102948850631</v>
      </c>
      <c r="F31" s="20">
        <f t="shared" si="2"/>
        <v>105.25140841061599</v>
      </c>
      <c r="G31" s="22">
        <v>2554.4</v>
      </c>
      <c r="H31" s="23">
        <v>15730</v>
      </c>
      <c r="I31" s="20">
        <f>$B31*100/'Table 1.1.1'!$B32</f>
        <v>111616.80574158127</v>
      </c>
      <c r="J31" s="20">
        <f>$F31*100/'Table 1.1.1'!$B32</f>
        <v>687.33369300996526</v>
      </c>
      <c r="K31" s="23">
        <f t="shared" si="4"/>
        <v>241.98560060629029</v>
      </c>
      <c r="L31" s="23">
        <f t="shared" si="4"/>
        <v>181.61875072162567</v>
      </c>
      <c r="M31" s="23">
        <f t="shared" si="4"/>
        <v>297.78564889607708</v>
      </c>
      <c r="N31" s="23">
        <f t="shared" si="4"/>
        <v>223.49464758611057</v>
      </c>
      <c r="O31" s="23">
        <f>100*$B31*('Table 1.1.1'!$E$7/'Table 1.1.1'!$E32)/$B$6</f>
        <v>267.48523606700644</v>
      </c>
      <c r="P31" s="23">
        <f>100*$F31*('Table 1.1.1'!$E$7/'Table 1.1.1'!$E32)/$F$6</f>
        <v>200.75352452644921</v>
      </c>
      <c r="Q31" s="23">
        <f>100*$B31*('Table 1.1.1'!$H$7/'Table 1.1.1'!$H32)/$B$6</f>
        <v>329.27994414848411</v>
      </c>
      <c r="R31" s="23">
        <f>100*$F31*('Table 1.1.1'!$H$7/'Table 1.1.1'!$H32)/$F$6</f>
        <v>247.13180553681511</v>
      </c>
    </row>
    <row r="32" spans="1:18" ht="12.75" customHeight="1">
      <c r="A32" s="24">
        <v>1955</v>
      </c>
      <c r="B32" s="20">
        <f t="shared" si="5"/>
        <v>18054.374460660278</v>
      </c>
      <c r="C32" s="21">
        <f t="shared" si="6"/>
        <v>168.39058644904156</v>
      </c>
      <c r="D32" s="22">
        <v>165.27500000000001</v>
      </c>
      <c r="E32" s="20">
        <f t="shared" si="1"/>
        <v>107.21724320452974</v>
      </c>
      <c r="F32" s="20">
        <f t="shared" si="2"/>
        <v>109.23838729789912</v>
      </c>
      <c r="G32" s="22">
        <v>2736.4</v>
      </c>
      <c r="H32" s="23">
        <v>16557</v>
      </c>
      <c r="I32" s="20">
        <f>$B32*100/'Table 1.1.1'!$B33</f>
        <v>115926.38025337279</v>
      </c>
      <c r="J32" s="20">
        <f>$F32*100/'Table 1.1.1'!$B33</f>
        <v>701.41509758507198</v>
      </c>
      <c r="K32" s="23">
        <f t="shared" si="4"/>
        <v>259.22697991663512</v>
      </c>
      <c r="L32" s="23">
        <f t="shared" si="4"/>
        <v>191.16730169726358</v>
      </c>
      <c r="M32" s="23">
        <f t="shared" si="4"/>
        <v>309.28328524154853</v>
      </c>
      <c r="N32" s="23">
        <f t="shared" si="4"/>
        <v>228.0733821731626</v>
      </c>
      <c r="O32" s="23">
        <f>100*$B32*('Table 1.1.1'!$E$7/'Table 1.1.1'!$E33)/$B$6</f>
        <v>274.36208528115606</v>
      </c>
      <c r="P32" s="23">
        <f>100*$F32*('Table 1.1.1'!$E$7/'Table 1.1.1'!$E33)/$F$6</f>
        <v>202.32159872876562</v>
      </c>
      <c r="Q32" s="23">
        <f>100*$B32*('Table 1.1.1'!$H$7/'Table 1.1.1'!$H33)/$B$6</f>
        <v>340.17819100523491</v>
      </c>
      <c r="R32" s="23">
        <f>100*$F32*('Table 1.1.1'!$H$7/'Table 1.1.1'!$H33)/$F$6</f>
        <v>250.85607359453047</v>
      </c>
    </row>
    <row r="33" spans="1:18" ht="12.75" customHeight="1">
      <c r="A33" s="24">
        <v>1956</v>
      </c>
      <c r="B33" s="20">
        <f t="shared" si="5"/>
        <v>19581.543582410126</v>
      </c>
      <c r="C33" s="21">
        <f t="shared" si="6"/>
        <v>171.3497150997151</v>
      </c>
      <c r="D33" s="22">
        <v>168.221</v>
      </c>
      <c r="E33" s="20">
        <f t="shared" si="1"/>
        <v>114.27823834439911</v>
      </c>
      <c r="F33" s="20">
        <f t="shared" si="2"/>
        <v>116.40368076762191</v>
      </c>
      <c r="G33" s="22">
        <v>2794.7</v>
      </c>
      <c r="H33" s="23">
        <v>16614</v>
      </c>
      <c r="I33" s="20">
        <f>$B33*100/'Table 1.1.1'!$B34</f>
        <v>121579.18528753336</v>
      </c>
      <c r="J33" s="20">
        <f>$F33*100/'Table 1.1.1'!$B34</f>
        <v>722.73488617671603</v>
      </c>
      <c r="K33" s="23">
        <f t="shared" si="4"/>
        <v>264.74990526714669</v>
      </c>
      <c r="L33" s="23">
        <f t="shared" si="4"/>
        <v>191.82542431589886</v>
      </c>
      <c r="M33" s="23">
        <f t="shared" si="4"/>
        <v>324.36456448078604</v>
      </c>
      <c r="N33" s="23">
        <f t="shared" si="4"/>
        <v>235.0057625967581</v>
      </c>
      <c r="O33" s="23">
        <f>100*$B33*('Table 1.1.1'!$E$7/'Table 1.1.1'!$E34)/$B$6</f>
        <v>288.28444103887392</v>
      </c>
      <c r="P33" s="23">
        <f>100*$F33*('Table 1.1.1'!$E$7/'Table 1.1.1'!$E34)/$F$6</f>
        <v>208.86530876011835</v>
      </c>
      <c r="Q33" s="23">
        <f>100*$B33*('Table 1.1.1'!$H$7/'Table 1.1.1'!$H34)/$B$6</f>
        <v>355.28799153909921</v>
      </c>
      <c r="R33" s="23">
        <f>100*$F33*('Table 1.1.1'!$H$7/'Table 1.1.1'!$H34)/$F$6</f>
        <v>257.41013210480457</v>
      </c>
    </row>
    <row r="34" spans="1:18" ht="12.75" customHeight="1">
      <c r="A34" s="24">
        <v>1957</v>
      </c>
      <c r="B34" s="20">
        <f t="shared" si="5"/>
        <v>21476.006543568168</v>
      </c>
      <c r="C34" s="21">
        <f t="shared" si="6"/>
        <v>174.44628099173553</v>
      </c>
      <c r="D34" s="22">
        <v>171.274</v>
      </c>
      <c r="E34" s="20">
        <f t="shared" si="1"/>
        <v>123.10956944152683</v>
      </c>
      <c r="F34" s="20">
        <f t="shared" si="2"/>
        <v>125.38976460856971</v>
      </c>
      <c r="G34" s="22">
        <v>2853.5</v>
      </c>
      <c r="H34" s="23">
        <v>16661</v>
      </c>
      <c r="I34" s="20">
        <f>$B34*100/'Table 1.1.1'!$B35</f>
        <v>129054.78362819644</v>
      </c>
      <c r="J34" s="20">
        <f>$F34*100/'Table 1.1.1'!$B35</f>
        <v>753.49897607457319</v>
      </c>
      <c r="K34" s="23">
        <f t="shared" si="4"/>
        <v>270.32019704433498</v>
      </c>
      <c r="L34" s="23">
        <f t="shared" si="4"/>
        <v>192.36808682600162</v>
      </c>
      <c r="M34" s="23">
        <f t="shared" si="4"/>
        <v>344.30892579779766</v>
      </c>
      <c r="N34" s="23">
        <f t="shared" si="4"/>
        <v>245.00906885098723</v>
      </c>
      <c r="O34" s="23">
        <f>100*$B34*('Table 1.1.1'!$E$7/'Table 1.1.1'!$E35)/$B$6</f>
        <v>304.14211090394531</v>
      </c>
      <c r="P34" s="23">
        <f>100*$F34*('Table 1.1.1'!$E$7/'Table 1.1.1'!$E35)/$F$6</f>
        <v>216.42649901766205</v>
      </c>
      <c r="Q34" s="23">
        <f>100*$B34*('Table 1.1.1'!$H$7/'Table 1.1.1'!$H35)/$B$6</f>
        <v>373.83736851430427</v>
      </c>
      <c r="R34" s="23">
        <f>100*$F34*('Table 1.1.1'!$H$7/'Table 1.1.1'!$H35)/$F$6</f>
        <v>266.02140896917439</v>
      </c>
    </row>
    <row r="35" spans="1:18" ht="12.75" customHeight="1">
      <c r="A35" s="24">
        <v>1958</v>
      </c>
      <c r="B35" s="20">
        <f t="shared" si="5"/>
        <v>23246.342500826486</v>
      </c>
      <c r="C35" s="21">
        <f t="shared" si="6"/>
        <v>177.37753280024842</v>
      </c>
      <c r="D35" s="22">
        <v>174.14099999999999</v>
      </c>
      <c r="E35" s="20">
        <f t="shared" si="1"/>
        <v>131.05573256002538</v>
      </c>
      <c r="F35" s="20">
        <f t="shared" si="2"/>
        <v>133.49149540215393</v>
      </c>
      <c r="G35" s="22">
        <v>2832.6</v>
      </c>
      <c r="H35" s="23">
        <v>16266</v>
      </c>
      <c r="I35" s="20">
        <f>$B35*100/'Table 1.1.1'!$B36</f>
        <v>136598.5574146579</v>
      </c>
      <c r="J35" s="20">
        <f>$F35*100/'Table 1.1.1'!$B36</f>
        <v>784.41353509315968</v>
      </c>
      <c r="K35" s="23">
        <f t="shared" si="4"/>
        <v>268.34028040924596</v>
      </c>
      <c r="L35" s="23">
        <f t="shared" si="4"/>
        <v>187.80741253896778</v>
      </c>
      <c r="M35" s="23">
        <f t="shared" si="4"/>
        <v>364.43517432463369</v>
      </c>
      <c r="N35" s="23">
        <f t="shared" si="4"/>
        <v>255.06130191246012</v>
      </c>
      <c r="O35" s="23">
        <f>100*$B35*('Table 1.1.1'!$E$7/'Table 1.1.1'!$E36)/$B$6</f>
        <v>317.58294954128331</v>
      </c>
      <c r="P35" s="23">
        <f>100*$F35*('Table 1.1.1'!$E$7/'Table 1.1.1'!$E36)/$F$6</f>
        <v>222.27031385022789</v>
      </c>
      <c r="Q35" s="23">
        <f>100*$B35*('Table 1.1.1'!$H$7/'Table 1.1.1'!$H36)/$B$6</f>
        <v>386.97492198594006</v>
      </c>
      <c r="R35" s="23">
        <f>100*$F35*('Table 1.1.1'!$H$7/'Table 1.1.1'!$H36)/$F$6</f>
        <v>270.83644599377749</v>
      </c>
    </row>
    <row r="36" spans="1:18" ht="12.75" customHeight="1">
      <c r="A36" s="24">
        <v>1959</v>
      </c>
      <c r="B36" s="20">
        <f t="shared" si="5"/>
        <v>25311.734450961194</v>
      </c>
      <c r="C36" s="21">
        <f t="shared" si="6"/>
        <v>180.3537770044947</v>
      </c>
      <c r="D36" s="22">
        <v>177.13</v>
      </c>
      <c r="E36" s="20">
        <f t="shared" si="1"/>
        <v>140.34490916334059</v>
      </c>
      <c r="F36" s="20">
        <f t="shared" si="2"/>
        <v>142.89919522927337</v>
      </c>
      <c r="G36" s="22">
        <v>3028.1</v>
      </c>
      <c r="H36" s="23">
        <v>17095</v>
      </c>
      <c r="I36" s="20">
        <f>$B36*100/'Table 1.1.1'!$B37</f>
        <v>146700.67492153234</v>
      </c>
      <c r="J36" s="20">
        <f>$F36*100/'Table 1.1.1'!$B37</f>
        <v>828.20908328082396</v>
      </c>
      <c r="K36" s="23">
        <f t="shared" si="4"/>
        <v>286.86055323986363</v>
      </c>
      <c r="L36" s="23">
        <f t="shared" si="4"/>
        <v>197.37905553631219</v>
      </c>
      <c r="M36" s="23">
        <f t="shared" si="4"/>
        <v>391.38690078752717</v>
      </c>
      <c r="N36" s="23">
        <f t="shared" si="4"/>
        <v>269.30194034992519</v>
      </c>
      <c r="O36" s="23">
        <f>100*$B36*('Table 1.1.1'!$E$7/'Table 1.1.1'!$E37)/$B$6</f>
        <v>337.15808590408363</v>
      </c>
      <c r="P36" s="23">
        <f>100*$F36*('Table 1.1.1'!$E$7/'Table 1.1.1'!$E37)/$F$6</f>
        <v>231.98867043311637</v>
      </c>
      <c r="Q36" s="23">
        <f>100*$B36*('Table 1.1.1'!$H$7/'Table 1.1.1'!$H37)/$B$6</f>
        <v>403.71868984273033</v>
      </c>
      <c r="R36" s="23">
        <f>100*$F36*('Table 1.1.1'!$H$7/'Table 1.1.1'!$H37)/$F$6</f>
        <v>277.78708564699531</v>
      </c>
    </row>
    <row r="37" spans="1:18" ht="18" customHeight="1">
      <c r="A37" s="24">
        <v>1960</v>
      </c>
      <c r="B37" s="23">
        <v>27359</v>
      </c>
      <c r="C37" s="22">
        <v>186</v>
      </c>
      <c r="D37" s="22">
        <v>180.76</v>
      </c>
      <c r="E37" s="25">
        <v>147</v>
      </c>
      <c r="F37" s="20">
        <f t="shared" si="2"/>
        <v>151.35538836025671</v>
      </c>
      <c r="G37" s="22">
        <v>3105.8</v>
      </c>
      <c r="H37" s="23">
        <v>17182</v>
      </c>
      <c r="I37" s="20">
        <f>$B37*100/'Table 1.1.1'!$B38</f>
        <v>156399.70273823818</v>
      </c>
      <c r="J37" s="20">
        <f>$F37*100/'Table 1.1.1'!$B38</f>
        <v>865.23402709802053</v>
      </c>
      <c r="K37" s="23">
        <f t="shared" si="4"/>
        <v>294.22129594543389</v>
      </c>
      <c r="L37" s="23">
        <f t="shared" si="4"/>
        <v>198.38355848054496</v>
      </c>
      <c r="M37" s="23">
        <f t="shared" si="4"/>
        <v>417.26321280765234</v>
      </c>
      <c r="N37" s="23">
        <f t="shared" si="4"/>
        <v>281.3410370135598</v>
      </c>
      <c r="O37" s="23">
        <f>100*$B37*('Table 1.1.1'!$E$7/'Table 1.1.1'!$E38)/$B$6</f>
        <v>346.1459394424042</v>
      </c>
      <c r="P37" s="23">
        <f>100*$F37*('Table 1.1.1'!$E$7/'Table 1.1.1'!$E38)/$F$6</f>
        <v>233.38999118920859</v>
      </c>
      <c r="Q37" s="23">
        <f>100*$B37*('Table 1.1.1'!$H$7/'Table 1.1.1'!$H38)/$B$6</f>
        <v>420.71768285782207</v>
      </c>
      <c r="R37" s="23">
        <f>100*$F37*('Table 1.1.1'!$H$7/'Table 1.1.1'!$H38)/$F$6</f>
        <v>283.67022433804851</v>
      </c>
    </row>
    <row r="38" spans="1:18" ht="12.75" customHeight="1">
      <c r="A38" s="24">
        <v>1961</v>
      </c>
      <c r="B38" s="23">
        <v>29229</v>
      </c>
      <c r="C38" s="22">
        <v>189</v>
      </c>
      <c r="D38" s="22">
        <v>183.74199999999999</v>
      </c>
      <c r="E38" s="20">
        <f t="shared" si="1"/>
        <v>154.65079365079364</v>
      </c>
      <c r="F38" s="20">
        <f t="shared" si="2"/>
        <v>159.07631352657532</v>
      </c>
      <c r="G38" s="22">
        <v>3185.1</v>
      </c>
      <c r="H38" s="23">
        <v>17335</v>
      </c>
      <c r="I38" s="20">
        <f>$B38*100/'Table 1.1.1'!$B39</f>
        <v>165266.31233744204</v>
      </c>
      <c r="J38" s="20">
        <f>$F38*100/'Table 1.1.1'!$B39</f>
        <v>899.44766214279844</v>
      </c>
      <c r="K38" s="23">
        <f t="shared" ref="K38:N97" si="7">100*G38/G$6</f>
        <v>301.73361121636987</v>
      </c>
      <c r="L38" s="23">
        <f t="shared" si="7"/>
        <v>200.15009814109226</v>
      </c>
      <c r="M38" s="23">
        <f t="shared" si="7"/>
        <v>440.91869260269436</v>
      </c>
      <c r="N38" s="23">
        <f t="shared" si="7"/>
        <v>292.46600351052672</v>
      </c>
      <c r="O38" s="23">
        <f>100*$B38*('Table 1.1.1'!$E$7/'Table 1.1.1'!$E39)/$B$6</f>
        <v>364.75088586287734</v>
      </c>
      <c r="P38" s="23">
        <f>100*$F38*('Table 1.1.1'!$E$7/'Table 1.1.1'!$E39)/$F$6</f>
        <v>241.94309666377728</v>
      </c>
      <c r="Q38" s="23">
        <f>100*$B38*('Table 1.1.1'!$H$7/'Table 1.1.1'!$H39)/$B$6</f>
        <v>437.69731697017636</v>
      </c>
      <c r="R38" s="23">
        <f>100*$F38*('Table 1.1.1'!$H$7/'Table 1.1.1'!$H39)/$F$6</f>
        <v>290.32923119205822</v>
      </c>
    </row>
    <row r="39" spans="1:18" ht="12.75" customHeight="1">
      <c r="A39" s="24">
        <v>1962</v>
      </c>
      <c r="B39" s="23">
        <v>31907</v>
      </c>
      <c r="C39" s="22">
        <v>192</v>
      </c>
      <c r="D39" s="22">
        <v>186.59</v>
      </c>
      <c r="E39" s="20">
        <f t="shared" si="1"/>
        <v>166.18229166666666</v>
      </c>
      <c r="F39" s="20">
        <f t="shared" si="2"/>
        <v>171.00058952784178</v>
      </c>
      <c r="G39" s="22">
        <v>3379.9</v>
      </c>
      <c r="H39" s="23">
        <v>18114</v>
      </c>
      <c r="I39" s="20">
        <f>$B39*100/'Table 1.1.1'!$B40</f>
        <v>178221.52711836007</v>
      </c>
      <c r="J39" s="20">
        <f>$F39*100/'Table 1.1.1'!$B40</f>
        <v>955.15047493627765</v>
      </c>
      <c r="K39" s="23">
        <f t="shared" si="7"/>
        <v>320.18757104964004</v>
      </c>
      <c r="L39" s="23">
        <f t="shared" si="7"/>
        <v>209.14444059577417</v>
      </c>
      <c r="M39" s="23">
        <f t="shared" si="7"/>
        <v>475.48227838614349</v>
      </c>
      <c r="N39" s="23">
        <f t="shared" si="7"/>
        <v>310.57842931103704</v>
      </c>
      <c r="O39" s="23">
        <f>100*$B39*('Table 1.1.1'!$E$7/'Table 1.1.1'!$E40)/$B$6</f>
        <v>392.40934727801914</v>
      </c>
      <c r="P39" s="23">
        <f>100*$F39*('Table 1.1.1'!$E$7/'Table 1.1.1'!$E40)/$F$6</f>
        <v>256.31634293129537</v>
      </c>
      <c r="Q39" s="23">
        <f>100*$B39*('Table 1.1.1'!$H$7/'Table 1.1.1'!$H40)/$B$6</f>
        <v>465.60058743727097</v>
      </c>
      <c r="R39" s="23">
        <f>100*$F39*('Table 1.1.1'!$H$7/'Table 1.1.1'!$H40)/$F$6</f>
        <v>304.12384584211213</v>
      </c>
    </row>
    <row r="40" spans="1:18" ht="12.75" customHeight="1">
      <c r="A40" s="24">
        <v>1963</v>
      </c>
      <c r="B40" s="23">
        <v>34727</v>
      </c>
      <c r="C40" s="22">
        <v>195</v>
      </c>
      <c r="D40" s="22">
        <v>189.3</v>
      </c>
      <c r="E40" s="20">
        <f t="shared" si="1"/>
        <v>178.0871794871795</v>
      </c>
      <c r="F40" s="20">
        <f t="shared" si="2"/>
        <v>183.44955097728473</v>
      </c>
      <c r="G40" s="22">
        <v>3527.1</v>
      </c>
      <c r="H40" s="23">
        <v>18632</v>
      </c>
      <c r="I40" s="20">
        <f>$B40*100/'Table 1.1.1'!$B41</f>
        <v>191808.89257111296</v>
      </c>
      <c r="J40" s="20">
        <f>$F40*100/'Table 1.1.1'!$B41</f>
        <v>1013.2535265246327</v>
      </c>
      <c r="K40" s="23">
        <f t="shared" si="7"/>
        <v>334.13224706328157</v>
      </c>
      <c r="L40" s="23">
        <f t="shared" si="7"/>
        <v>215.12527421775778</v>
      </c>
      <c r="M40" s="23">
        <f t="shared" si="7"/>
        <v>511.73239691671563</v>
      </c>
      <c r="N40" s="23">
        <f t="shared" si="7"/>
        <v>329.4713210323057</v>
      </c>
      <c r="O40" s="23">
        <f>100*$B40*('Table 1.1.1'!$E$7/'Table 1.1.1'!$E41)/$B$6</f>
        <v>418.99147967176617</v>
      </c>
      <c r="P40" s="23">
        <f>100*$F40*('Table 1.1.1'!$E$7/'Table 1.1.1'!$E41)/$F$6</f>
        <v>269.76145567583472</v>
      </c>
      <c r="Q40" s="23">
        <f>100*$B40*('Table 1.1.1'!$H$7/'Table 1.1.1'!$H41)/$B$6</f>
        <v>494.13501999320846</v>
      </c>
      <c r="R40" s="23">
        <f>100*$F40*('Table 1.1.1'!$H$7/'Table 1.1.1'!$H41)/$F$6</f>
        <v>318.14151065363058</v>
      </c>
    </row>
    <row r="41" spans="1:18" ht="12.75" customHeight="1">
      <c r="A41" s="24">
        <v>1964</v>
      </c>
      <c r="B41" s="23">
        <v>38544</v>
      </c>
      <c r="C41" s="22">
        <v>197</v>
      </c>
      <c r="D41" s="22">
        <v>191.92699999999999</v>
      </c>
      <c r="E41" s="20">
        <f t="shared" si="1"/>
        <v>195.65482233502539</v>
      </c>
      <c r="F41" s="20">
        <f t="shared" si="2"/>
        <v>200.82635585404867</v>
      </c>
      <c r="G41" s="22">
        <v>3730.5</v>
      </c>
      <c r="H41" s="23">
        <v>19437</v>
      </c>
      <c r="I41" s="20">
        <f>$B41*100/'Table 1.1.1'!$B42</f>
        <v>209671.97954631998</v>
      </c>
      <c r="J41" s="20">
        <f>$F41*100/'Table 1.1.1'!$B42</f>
        <v>1092.4569213623929</v>
      </c>
      <c r="K41" s="23">
        <f t="shared" si="7"/>
        <v>353.40090943539224</v>
      </c>
      <c r="L41" s="23">
        <f t="shared" si="7"/>
        <v>224.41981295462418</v>
      </c>
      <c r="M41" s="23">
        <f t="shared" si="7"/>
        <v>559.38983444018913</v>
      </c>
      <c r="N41" s="23">
        <f t="shared" si="7"/>
        <v>355.22523793891099</v>
      </c>
      <c r="O41" s="23">
        <f>100*$B41*('Table 1.1.1'!$E$7/'Table 1.1.1'!$E42)/$B$6</f>
        <v>452.96274611632265</v>
      </c>
      <c r="P41" s="23">
        <f>100*$F41*('Table 1.1.1'!$E$7/'Table 1.1.1'!$E42)/$F$6</f>
        <v>287.64162192482127</v>
      </c>
      <c r="Q41" s="23">
        <f>100*$B41*('Table 1.1.1'!$H$7/'Table 1.1.1'!$H42)/$B$6</f>
        <v>537.30030249406366</v>
      </c>
      <c r="R41" s="23">
        <f>100*$F41*('Table 1.1.1'!$H$7/'Table 1.1.1'!$H42)/$F$6</f>
        <v>341.19788392134245</v>
      </c>
    </row>
    <row r="42" spans="1:18" ht="12.75" customHeight="1">
      <c r="A42" s="24">
        <v>1965</v>
      </c>
      <c r="B42" s="23">
        <v>41957</v>
      </c>
      <c r="C42" s="22">
        <v>200</v>
      </c>
      <c r="D42" s="22">
        <v>194.34700000000001</v>
      </c>
      <c r="E42" s="20">
        <f t="shared" si="1"/>
        <v>209.785</v>
      </c>
      <c r="F42" s="20">
        <f t="shared" si="2"/>
        <v>215.8870473946086</v>
      </c>
      <c r="G42" s="22">
        <v>3972.9</v>
      </c>
      <c r="H42" s="23">
        <v>20442</v>
      </c>
      <c r="I42" s="20">
        <f>$B42*100/'Table 1.1.1'!$B43</f>
        <v>224129.27350427353</v>
      </c>
      <c r="J42" s="20">
        <f>$F42*100/'Table 1.1.1'!$B43</f>
        <v>1153.2427745438495</v>
      </c>
      <c r="K42" s="23">
        <f t="shared" si="7"/>
        <v>376.36415308829106</v>
      </c>
      <c r="L42" s="23">
        <f t="shared" si="7"/>
        <v>236.02355386214063</v>
      </c>
      <c r="M42" s="23">
        <f t="shared" si="7"/>
        <v>597.960859958676</v>
      </c>
      <c r="N42" s="23">
        <f t="shared" si="7"/>
        <v>374.99047420358187</v>
      </c>
      <c r="O42" s="23">
        <f>100*$B42*('Table 1.1.1'!$E$7/'Table 1.1.1'!$E43)/$B$6</f>
        <v>480.97711495124526</v>
      </c>
      <c r="P42" s="23">
        <f>100*$F42*('Table 1.1.1'!$E$7/'Table 1.1.1'!$E43)/$F$6</f>
        <v>301.62816413954351</v>
      </c>
      <c r="Q42" s="23">
        <f>100*$B42*('Table 1.1.1'!$H$7/'Table 1.1.1'!$H43)/$B$6</f>
        <v>570.95160290619049</v>
      </c>
      <c r="R42" s="23">
        <f>100*$F42*('Table 1.1.1'!$H$7/'Table 1.1.1'!$H43)/$F$6</f>
        <v>358.0525526969837</v>
      </c>
    </row>
    <row r="43" spans="1:18" ht="12.75" customHeight="1">
      <c r="A43" s="24">
        <v>1966</v>
      </c>
      <c r="B43" s="23">
        <v>46254</v>
      </c>
      <c r="C43" s="22">
        <v>202</v>
      </c>
      <c r="D43" s="22">
        <v>196.59899999999999</v>
      </c>
      <c r="E43" s="20">
        <f t="shared" si="1"/>
        <v>228.98019801980197</v>
      </c>
      <c r="F43" s="20">
        <f t="shared" si="2"/>
        <v>235.27077960722079</v>
      </c>
      <c r="G43" s="22">
        <v>4234.8999999999996</v>
      </c>
      <c r="H43" s="23">
        <v>21541</v>
      </c>
      <c r="I43" s="20">
        <f>$B43*100/'Table 1.1.1'!$B44</f>
        <v>240330.45827704458</v>
      </c>
      <c r="J43" s="20">
        <f>$F43*100/'Table 1.1.1'!$B44</f>
        <v>1222.4398815713437</v>
      </c>
      <c r="K43" s="23">
        <f t="shared" si="7"/>
        <v>401.18416066691924</v>
      </c>
      <c r="L43" s="23">
        <f t="shared" si="7"/>
        <v>248.7126197898626</v>
      </c>
      <c r="M43" s="23">
        <f t="shared" si="7"/>
        <v>641.18446135446106</v>
      </c>
      <c r="N43" s="23">
        <f t="shared" si="7"/>
        <v>397.49072874714022</v>
      </c>
      <c r="O43" s="23">
        <f>100*$B43*('Table 1.1.1'!$E$7/'Table 1.1.1'!$E44)/$B$6</f>
        <v>511.16113580366789</v>
      </c>
      <c r="P43" s="23">
        <f>100*$F43*('Table 1.1.1'!$E$7/'Table 1.1.1'!$E44)/$F$6</f>
        <v>316.8851159440253</v>
      </c>
      <c r="Q43" s="23">
        <f>100*$B43*('Table 1.1.1'!$H$7/'Table 1.1.1'!$H44)/$B$6</f>
        <v>603.09948426171422</v>
      </c>
      <c r="R43" s="23">
        <f>100*$F43*('Table 1.1.1'!$H$7/'Table 1.1.1'!$H44)/$F$6</f>
        <v>373.880634910906</v>
      </c>
    </row>
    <row r="44" spans="1:18" ht="12.75" customHeight="1">
      <c r="A44" s="24">
        <v>1967</v>
      </c>
      <c r="B44" s="23">
        <v>51780</v>
      </c>
      <c r="C44" s="22">
        <v>204</v>
      </c>
      <c r="D44" s="22">
        <v>198.75200000000001</v>
      </c>
      <c r="E44" s="20">
        <f t="shared" si="1"/>
        <v>253.8235294117647</v>
      </c>
      <c r="F44" s="20">
        <f t="shared" si="2"/>
        <v>260.52568024472708</v>
      </c>
      <c r="G44" s="22">
        <v>4351.2</v>
      </c>
      <c r="H44" s="23">
        <v>21893</v>
      </c>
      <c r="I44" s="20">
        <f>$B44*100/'Table 1.1.1'!$B45</f>
        <v>261449.1290078263</v>
      </c>
      <c r="J44" s="20">
        <f>$F44*100/'Table 1.1.1'!$B45</f>
        <v>1315.4540784889023</v>
      </c>
      <c r="K44" s="23">
        <f t="shared" si="7"/>
        <v>412.20159151193639</v>
      </c>
      <c r="L44" s="23">
        <f t="shared" si="7"/>
        <v>252.77681561020668</v>
      </c>
      <c r="M44" s="23">
        <f t="shared" si="7"/>
        <v>697.52756332378749</v>
      </c>
      <c r="N44" s="23">
        <f t="shared" si="7"/>
        <v>427.73539065154864</v>
      </c>
      <c r="O44" s="23">
        <f>100*$B44*('Table 1.1.1'!$E$7/'Table 1.1.1'!$E45)/$B$6</f>
        <v>543.82870894488906</v>
      </c>
      <c r="P44" s="23">
        <f>100*$F44*('Table 1.1.1'!$E$7/'Table 1.1.1'!$E45)/$F$6</f>
        <v>333.48472160675203</v>
      </c>
      <c r="Q44" s="23">
        <f>100*$B44*('Table 1.1.1'!$H$7/'Table 1.1.1'!$H45)/$B$6</f>
        <v>629.66325094550541</v>
      </c>
      <c r="R44" s="23">
        <f>100*$F44*('Table 1.1.1'!$H$7/'Table 1.1.1'!$H45)/$F$6</f>
        <v>386.11987652318618</v>
      </c>
    </row>
    <row r="45" spans="1:18" ht="12.75" customHeight="1">
      <c r="A45" s="24">
        <v>1968</v>
      </c>
      <c r="B45" s="23">
        <v>58755</v>
      </c>
      <c r="C45" s="22">
        <v>206</v>
      </c>
      <c r="D45" s="22">
        <v>200.745</v>
      </c>
      <c r="E45" s="20">
        <f t="shared" si="1"/>
        <v>285.21844660194176</v>
      </c>
      <c r="F45" s="20">
        <f t="shared" si="2"/>
        <v>292.68474930882462</v>
      </c>
      <c r="G45" s="22">
        <v>4564.7</v>
      </c>
      <c r="H45" s="23">
        <v>22739</v>
      </c>
      <c r="I45" s="20">
        <f>$B45*100/'Table 1.1.1'!$B46</f>
        <v>284569.18680680002</v>
      </c>
      <c r="J45" s="20">
        <f>$F45*100/'Table 1.1.1'!$B46</f>
        <v>1417.5655025370497</v>
      </c>
      <c r="K45" s="23">
        <f t="shared" si="7"/>
        <v>432.42705570291781</v>
      </c>
      <c r="L45" s="23">
        <f t="shared" si="7"/>
        <v>262.54474079205636</v>
      </c>
      <c r="M45" s="23">
        <f t="shared" si="7"/>
        <v>759.21022274446784</v>
      </c>
      <c r="N45" s="23">
        <f t="shared" si="7"/>
        <v>460.93812312959363</v>
      </c>
      <c r="O45" s="23">
        <f>100*$B45*('Table 1.1.1'!$E$7/'Table 1.1.1'!$E46)/$B$6</f>
        <v>586.12140279572907</v>
      </c>
      <c r="P45" s="23">
        <f>100*$F45*('Table 1.1.1'!$E$7/'Table 1.1.1'!$E46)/$F$6</f>
        <v>355.85097676125366</v>
      </c>
      <c r="Q45" s="23">
        <f>100*$B45*('Table 1.1.1'!$H$7/'Table 1.1.1'!$H46)/$B$6</f>
        <v>673.8590289521461</v>
      </c>
      <c r="R45" s="23">
        <f>100*$F45*('Table 1.1.1'!$H$7/'Table 1.1.1'!$H46)/$F$6</f>
        <v>409.11898543241256</v>
      </c>
    </row>
    <row r="46" spans="1:18" ht="12.75" customHeight="1">
      <c r="A46" s="24">
        <v>1969</v>
      </c>
      <c r="B46" s="23">
        <v>66215</v>
      </c>
      <c r="C46" s="22">
        <v>208</v>
      </c>
      <c r="D46" s="22">
        <v>202.73599999999999</v>
      </c>
      <c r="E46" s="20">
        <f t="shared" si="1"/>
        <v>318.34134615384613</v>
      </c>
      <c r="F46" s="20">
        <f t="shared" si="2"/>
        <v>326.60701602083498</v>
      </c>
      <c r="G46" s="22">
        <v>4707.8999999999996</v>
      </c>
      <c r="H46" s="23">
        <v>23222</v>
      </c>
      <c r="I46" s="20">
        <f>$B46*100/'Table 1.1.1'!$B47</f>
        <v>305659.41928634077</v>
      </c>
      <c r="J46" s="20">
        <f>$F46*100/'Table 1.1.1'!$B47</f>
        <v>1507.6721415354982</v>
      </c>
      <c r="K46" s="23">
        <f t="shared" si="7"/>
        <v>445.99280030314509</v>
      </c>
      <c r="L46" s="23">
        <f t="shared" si="7"/>
        <v>268.1214640341762</v>
      </c>
      <c r="M46" s="23">
        <f t="shared" si="7"/>
        <v>815.47745349491299</v>
      </c>
      <c r="N46" s="23">
        <f t="shared" si="7"/>
        <v>490.23735832340094</v>
      </c>
      <c r="O46" s="23">
        <f>100*$B46*('Table 1.1.1'!$E$7/'Table 1.1.1'!$E47)/$B$6</f>
        <v>622.32539705544048</v>
      </c>
      <c r="P46" s="23">
        <f>100*$F46*('Table 1.1.1'!$E$7/'Table 1.1.1'!$E47)/$F$6</f>
        <v>374.12089980231912</v>
      </c>
      <c r="Q46" s="23">
        <f>100*$B46*('Table 1.1.1'!$H$7/'Table 1.1.1'!$H47)/$B$6</f>
        <v>711.80512376951526</v>
      </c>
      <c r="R46" s="23">
        <f>100*$F46*('Table 1.1.1'!$H$7/'Table 1.1.1'!$H47)/$F$6</f>
        <v>427.91307352804125</v>
      </c>
    </row>
    <row r="47" spans="1:18" ht="18" customHeight="1">
      <c r="A47" s="24">
        <v>1970</v>
      </c>
      <c r="B47" s="23">
        <v>74853</v>
      </c>
      <c r="C47" s="22">
        <v>210</v>
      </c>
      <c r="D47" s="22">
        <v>205.089</v>
      </c>
      <c r="E47" s="25">
        <v>356</v>
      </c>
      <c r="F47" s="20">
        <f t="shared" si="2"/>
        <v>364.97813144537253</v>
      </c>
      <c r="G47" s="22">
        <v>4717.7</v>
      </c>
      <c r="H47" s="23">
        <v>23003</v>
      </c>
      <c r="I47" s="20">
        <f>$B47*100/'Table 1.1.1'!$B48</f>
        <v>328230.65117298841</v>
      </c>
      <c r="J47" s="20">
        <f>$F47*100/'Table 1.1.1'!$B48</f>
        <v>1600.4303067106885</v>
      </c>
      <c r="K47" s="23">
        <f t="shared" si="7"/>
        <v>446.92118226600991</v>
      </c>
      <c r="L47" s="23">
        <f t="shared" si="7"/>
        <v>265.59288765731441</v>
      </c>
      <c r="M47" s="23">
        <f t="shared" si="7"/>
        <v>875.69588466298251</v>
      </c>
      <c r="N47" s="23">
        <f t="shared" si="7"/>
        <v>520.39876849053326</v>
      </c>
      <c r="O47" s="23">
        <f>100*$B47*('Table 1.1.1'!$E$7/'Table 1.1.1'!$E48)/$B$6</f>
        <v>659.2148106186736</v>
      </c>
      <c r="P47" s="23">
        <f>100*$F47*('Table 1.1.1'!$E$7/'Table 1.1.1'!$E48)/$F$6</f>
        <v>391.75081398116282</v>
      </c>
      <c r="Q47" s="23">
        <f>100*$B47*('Table 1.1.1'!$H$7/'Table 1.1.1'!$H48)/$B$6</f>
        <v>754.96306188471272</v>
      </c>
      <c r="R47" s="23">
        <f>100*$F47*('Table 1.1.1'!$H$7/'Table 1.1.1'!$H48)/$F$6</f>
        <v>448.65101520015708</v>
      </c>
    </row>
    <row r="48" spans="1:18" ht="12.75" customHeight="1">
      <c r="A48" s="24">
        <v>1971</v>
      </c>
      <c r="B48" s="23">
        <v>83240</v>
      </c>
      <c r="C48" s="22">
        <v>213</v>
      </c>
      <c r="D48" s="22">
        <v>207.69200000000001</v>
      </c>
      <c r="E48" s="20">
        <f t="shared" si="1"/>
        <v>390.79812206572768</v>
      </c>
      <c r="F48" s="20">
        <f t="shared" si="2"/>
        <v>400.7857789418947</v>
      </c>
      <c r="G48" s="22">
        <v>4873</v>
      </c>
      <c r="H48" s="23">
        <v>23463</v>
      </c>
      <c r="I48" s="20">
        <f>$B48*100/'Table 1.1.1'!$B49</f>
        <v>347354.36488065432</v>
      </c>
      <c r="J48" s="20">
        <f>$F48*100/'Table 1.1.1'!$B49</f>
        <v>1672.4494197208091</v>
      </c>
      <c r="K48" s="23">
        <f t="shared" si="7"/>
        <v>461.6331943918151</v>
      </c>
      <c r="L48" s="23">
        <f t="shared" si="7"/>
        <v>270.9040526498095</v>
      </c>
      <c r="M48" s="23">
        <f t="shared" si="7"/>
        <v>926.71658408099654</v>
      </c>
      <c r="N48" s="23">
        <f t="shared" si="7"/>
        <v>543.81663152467945</v>
      </c>
      <c r="O48" s="23">
        <f>100*$B48*('Table 1.1.1'!$E$7/'Table 1.1.1'!$E49)/$B$6</f>
        <v>700.60322470069593</v>
      </c>
      <c r="P48" s="23">
        <f>100*$F48*('Table 1.1.1'!$E$7/'Table 1.1.1'!$E49)/$F$6</f>
        <v>411.12859339825997</v>
      </c>
      <c r="Q48" s="23">
        <f>100*$B48*('Table 1.1.1'!$H$7/'Table 1.1.1'!$H49)/$B$6</f>
        <v>790.71554918874176</v>
      </c>
      <c r="R48" s="23">
        <f>100*$F48*('Table 1.1.1'!$H$7/'Table 1.1.1'!$H49)/$F$6</f>
        <v>464.0083859947685</v>
      </c>
    </row>
    <row r="49" spans="1:18" ht="12.75" customHeight="1">
      <c r="A49" s="24">
        <v>1972</v>
      </c>
      <c r="B49" s="23">
        <v>93141</v>
      </c>
      <c r="C49" s="22">
        <v>215</v>
      </c>
      <c r="D49" s="22">
        <v>209.92400000000001</v>
      </c>
      <c r="E49" s="20">
        <f t="shared" si="1"/>
        <v>433.21395348837211</v>
      </c>
      <c r="F49" s="20">
        <f t="shared" si="2"/>
        <v>443.68914464282312</v>
      </c>
      <c r="G49" s="22">
        <v>5128.8</v>
      </c>
      <c r="H49" s="23">
        <v>24432</v>
      </c>
      <c r="I49" s="20">
        <f>$B49*100/'Table 1.1.1'!$B50</f>
        <v>372489.50209958007</v>
      </c>
      <c r="J49" s="20">
        <f>$F49*100/'Table 1.1.1'!$B50</f>
        <v>1774.4016982316464</v>
      </c>
      <c r="K49" s="23">
        <f t="shared" si="7"/>
        <v>485.86585827965143</v>
      </c>
      <c r="L49" s="23">
        <f t="shared" si="7"/>
        <v>282.09213716660895</v>
      </c>
      <c r="M49" s="23">
        <f t="shared" si="7"/>
        <v>993.77533116751499</v>
      </c>
      <c r="N49" s="23">
        <f t="shared" si="7"/>
        <v>576.96761595641487</v>
      </c>
      <c r="O49" s="23">
        <f>100*$B49*('Table 1.1.1'!$E$7/'Table 1.1.1'!$E50)/$B$6</f>
        <v>756.12097957303729</v>
      </c>
      <c r="P49" s="23">
        <f>100*$F49*('Table 1.1.1'!$E$7/'Table 1.1.1'!$E50)/$F$6</f>
        <v>438.9898856176647</v>
      </c>
      <c r="Q49" s="23">
        <f>100*$B49*('Table 1.1.1'!$H$7/'Table 1.1.1'!$H50)/$B$6</f>
        <v>856.30301686144423</v>
      </c>
      <c r="R49" s="23">
        <f>100*$F49*('Table 1.1.1'!$H$7/'Table 1.1.1'!$H50)/$F$6</f>
        <v>497.15372748727691</v>
      </c>
    </row>
    <row r="50" spans="1:18" ht="12.75" customHeight="1">
      <c r="A50" s="24">
        <v>1973</v>
      </c>
      <c r="B50" s="23">
        <v>103365</v>
      </c>
      <c r="C50" s="22">
        <v>217</v>
      </c>
      <c r="D50" s="22">
        <v>211.93899999999999</v>
      </c>
      <c r="E50" s="20">
        <f t="shared" si="1"/>
        <v>476.33640552995394</v>
      </c>
      <c r="F50" s="20">
        <f t="shared" si="2"/>
        <v>487.71108668060151</v>
      </c>
      <c r="G50" s="22">
        <v>5418.2</v>
      </c>
      <c r="H50" s="23">
        <v>25565</v>
      </c>
      <c r="I50" s="20">
        <f>$B50*100/'Table 1.1.1'!$B51</f>
        <v>392038.98960782826</v>
      </c>
      <c r="J50" s="20">
        <f>$F50*100/'Table 1.1.1'!$B51</f>
        <v>1849.7727629545684</v>
      </c>
      <c r="K50" s="23">
        <f t="shared" si="7"/>
        <v>513.28154604016675</v>
      </c>
      <c r="L50" s="23">
        <f t="shared" si="7"/>
        <v>295.17376746334139</v>
      </c>
      <c r="M50" s="23">
        <f t="shared" si="7"/>
        <v>1045.9319646112967</v>
      </c>
      <c r="N50" s="23">
        <f t="shared" si="7"/>
        <v>601.47540557847128</v>
      </c>
      <c r="O50" s="23">
        <f>100*$B50*('Table 1.1.1'!$E$7/'Table 1.1.1'!$E51)/$B$6</f>
        <v>806.07248829961861</v>
      </c>
      <c r="P50" s="23">
        <f>100*$F50*('Table 1.1.1'!$E$7/'Table 1.1.1'!$E51)/$F$6</f>
        <v>463.54140922143125</v>
      </c>
      <c r="Q50" s="23">
        <f>100*$B50*('Table 1.1.1'!$H$7/'Table 1.1.1'!$H51)/$B$6</f>
        <v>913.5602462332198</v>
      </c>
      <c r="R50" s="23">
        <f>100*$F50*('Table 1.1.1'!$H$7/'Table 1.1.1'!$H51)/$F$6</f>
        <v>525.35350119804457</v>
      </c>
    </row>
    <row r="51" spans="1:18" ht="12.75" customHeight="1">
      <c r="A51" s="24">
        <v>1974</v>
      </c>
      <c r="B51" s="23">
        <v>117157</v>
      </c>
      <c r="C51" s="22">
        <v>218</v>
      </c>
      <c r="D51" s="22">
        <v>213.898</v>
      </c>
      <c r="E51" s="20">
        <f t="shared" si="1"/>
        <v>537.4174311926605</v>
      </c>
      <c r="F51" s="20">
        <f t="shared" si="2"/>
        <v>547.72368138084505</v>
      </c>
      <c r="G51" s="22">
        <v>5390.2</v>
      </c>
      <c r="H51" s="23">
        <v>25200</v>
      </c>
      <c r="I51" s="20">
        <f>$B51*100/'Table 1.1.1'!$B52</f>
        <v>407729.51903668127</v>
      </c>
      <c r="J51" s="20">
        <f>$F51*100/'Table 1.1.1'!$B52</f>
        <v>1906.1866826089129</v>
      </c>
      <c r="K51" s="23">
        <f t="shared" si="7"/>
        <v>510.62902614626756</v>
      </c>
      <c r="L51" s="23">
        <f t="shared" si="7"/>
        <v>290.95947350190511</v>
      </c>
      <c r="M51" s="23">
        <f t="shared" si="7"/>
        <v>1087.7931740989764</v>
      </c>
      <c r="N51" s="23">
        <f t="shared" si="7"/>
        <v>619.81905615216158</v>
      </c>
      <c r="O51" s="23">
        <f>100*$B51*('Table 1.1.1'!$E$7/'Table 1.1.1'!$E52)/$B$6</f>
        <v>841.06078380428073</v>
      </c>
      <c r="P51" s="23">
        <f>100*$F51*('Table 1.1.1'!$E$7/'Table 1.1.1'!$E52)/$F$6</f>
        <v>479.23218640893384</v>
      </c>
      <c r="Q51" s="23">
        <f>100*$B51*('Table 1.1.1'!$H$7/'Table 1.1.1'!$H52)/$B$6</f>
        <v>947.5405294382424</v>
      </c>
      <c r="R51" s="23">
        <f>100*$F51*('Table 1.1.1'!$H$7/'Table 1.1.1'!$H52)/$F$6</f>
        <v>539.90380764137171</v>
      </c>
    </row>
    <row r="52" spans="1:18" ht="12.75" customHeight="1">
      <c r="A52" s="24">
        <v>1975</v>
      </c>
      <c r="B52" s="23">
        <v>133585</v>
      </c>
      <c r="C52" s="22">
        <v>220</v>
      </c>
      <c r="D52" s="22">
        <v>215.98099999999999</v>
      </c>
      <c r="E52" s="20">
        <f t="shared" si="1"/>
        <v>607.2045454545455</v>
      </c>
      <c r="F52" s="20">
        <f t="shared" si="2"/>
        <v>618.50347947273144</v>
      </c>
      <c r="G52" s="22">
        <v>5379.5</v>
      </c>
      <c r="H52" s="23">
        <v>24907</v>
      </c>
      <c r="I52" s="20">
        <f>$B52*100/'Table 1.1.1'!$B53</f>
        <v>425497.69071508205</v>
      </c>
      <c r="J52" s="20">
        <f>$F52*100/'Table 1.1.1'!$B53</f>
        <v>1970.0700094688052</v>
      </c>
      <c r="K52" s="23">
        <f t="shared" si="7"/>
        <v>509.61538461538464</v>
      </c>
      <c r="L52" s="23">
        <f t="shared" si="7"/>
        <v>287.57649232190278</v>
      </c>
      <c r="M52" s="23">
        <f t="shared" si="7"/>
        <v>1135.1973844040053</v>
      </c>
      <c r="N52" s="23">
        <f t="shared" si="7"/>
        <v>640.59147247392764</v>
      </c>
      <c r="O52" s="23">
        <f>100*$B52*('Table 1.1.1'!$E$7/'Table 1.1.1'!$E53)/$B$6</f>
        <v>865.71834116399896</v>
      </c>
      <c r="P52" s="23">
        <f>100*$F52*('Table 1.1.1'!$E$7/'Table 1.1.1'!$E53)/$F$6</f>
        <v>488.52454606833868</v>
      </c>
      <c r="Q52" s="23">
        <f>100*$B52*('Table 1.1.1'!$H$7/'Table 1.1.1'!$H53)/$B$6</f>
        <v>964.40509184487439</v>
      </c>
      <c r="R52" s="23">
        <f>100*$F52*('Table 1.1.1'!$H$7/'Table 1.1.1'!$H53)/$F$6</f>
        <v>544.21344370046268</v>
      </c>
    </row>
    <row r="53" spans="1:18" ht="12.75" customHeight="1">
      <c r="A53" s="24">
        <v>1976</v>
      </c>
      <c r="B53" s="23">
        <v>153011</v>
      </c>
      <c r="C53" s="22">
        <v>222</v>
      </c>
      <c r="D53" s="22">
        <v>218.08600000000001</v>
      </c>
      <c r="E53" s="20">
        <f t="shared" si="1"/>
        <v>689.23873873873879</v>
      </c>
      <c r="F53" s="20">
        <f t="shared" si="2"/>
        <v>701.60853975037367</v>
      </c>
      <c r="G53" s="22">
        <v>5669.3</v>
      </c>
      <c r="H53" s="23">
        <v>25996</v>
      </c>
      <c r="I53" s="20">
        <f>$B53*100/'Table 1.1.1'!$B54</f>
        <v>462003.68368610163</v>
      </c>
      <c r="J53" s="20">
        <f>$F53*100/'Table 1.1.1'!$B54</f>
        <v>2118.4472349719908</v>
      </c>
      <c r="K53" s="23">
        <f t="shared" si="7"/>
        <v>537.06896551724139</v>
      </c>
      <c r="L53" s="23">
        <f t="shared" si="7"/>
        <v>300.15009814109226</v>
      </c>
      <c r="M53" s="23">
        <f t="shared" si="7"/>
        <v>1232.5927607834324</v>
      </c>
      <c r="N53" s="23">
        <f t="shared" si="7"/>
        <v>688.83807534075163</v>
      </c>
      <c r="O53" s="23">
        <f>100*$B53*('Table 1.1.1'!$E$7/'Table 1.1.1'!$E54)/$B$6</f>
        <v>908.49960060178489</v>
      </c>
      <c r="P53" s="23">
        <f>100*$F53*('Table 1.1.1'!$E$7/'Table 1.1.1'!$E54)/$F$6</f>
        <v>507.71766331696818</v>
      </c>
      <c r="Q53" s="23">
        <f>100*$B53*('Table 1.1.1'!$H$7/'Table 1.1.1'!$H54)/$B$6</f>
        <v>1009.0547226691034</v>
      </c>
      <c r="R53" s="23">
        <f>100*$F53*('Table 1.1.1'!$H$7/'Table 1.1.1'!$H54)/$F$6</f>
        <v>563.91318786838667</v>
      </c>
    </row>
    <row r="54" spans="1:18" ht="12.75" customHeight="1">
      <c r="A54" s="24">
        <v>1977</v>
      </c>
      <c r="B54" s="23">
        <v>173979</v>
      </c>
      <c r="C54" s="22">
        <v>224</v>
      </c>
      <c r="D54" s="22">
        <v>220.28899999999999</v>
      </c>
      <c r="E54" s="20">
        <f t="shared" si="1"/>
        <v>776.69196428571433</v>
      </c>
      <c r="F54" s="20">
        <f t="shared" si="2"/>
        <v>789.77615768376995</v>
      </c>
      <c r="G54" s="22">
        <v>5930.6</v>
      </c>
      <c r="H54" s="23">
        <v>26922</v>
      </c>
      <c r="I54" s="20">
        <f>$B54*100/'Table 1.1.1'!$B55</f>
        <v>494637.93250504648</v>
      </c>
      <c r="J54" s="20">
        <f>$F54*100/'Table 1.1.1'!$B55</f>
        <v>2245.4045935341596</v>
      </c>
      <c r="K54" s="23">
        <f t="shared" si="7"/>
        <v>561.82266009852219</v>
      </c>
      <c r="L54" s="23">
        <f t="shared" si="7"/>
        <v>310.84170419120193</v>
      </c>
      <c r="M54" s="23">
        <f t="shared" si="7"/>
        <v>1319.6586008799941</v>
      </c>
      <c r="N54" s="23">
        <f t="shared" si="7"/>
        <v>730.11975612968399</v>
      </c>
      <c r="O54" s="23">
        <f>100*$B54*('Table 1.1.1'!$E$7/'Table 1.1.1'!$E55)/$B$6</f>
        <v>955.81974131485288</v>
      </c>
      <c r="P54" s="23">
        <f>100*$F54*('Table 1.1.1'!$E$7/'Table 1.1.1'!$E55)/$F$6</f>
        <v>528.82076922575186</v>
      </c>
      <c r="Q54" s="23">
        <f>100*$B54*('Table 1.1.1'!$H$7/'Table 1.1.1'!$H55)/$B$6</f>
        <v>1046.6883349807201</v>
      </c>
      <c r="R54" s="23">
        <f>100*$F54*('Table 1.1.1'!$H$7/'Table 1.1.1'!$H55)/$F$6</f>
        <v>579.09510184702924</v>
      </c>
    </row>
    <row r="55" spans="1:18" ht="12.75" customHeight="1">
      <c r="A55" s="24">
        <v>1978</v>
      </c>
      <c r="B55" s="23">
        <v>195528</v>
      </c>
      <c r="C55" s="22">
        <v>226</v>
      </c>
      <c r="D55" s="22">
        <v>222.62899999999999</v>
      </c>
      <c r="E55" s="20">
        <f t="shared" si="1"/>
        <v>865.16814159292039</v>
      </c>
      <c r="F55" s="20">
        <f t="shared" si="2"/>
        <v>878.2683298222604</v>
      </c>
      <c r="G55" s="22">
        <v>6260.4</v>
      </c>
      <c r="H55" s="23">
        <v>28120</v>
      </c>
      <c r="I55" s="20">
        <f>$B55*100/'Table 1.1.1'!$B56</f>
        <v>519427.25075047155</v>
      </c>
      <c r="J55" s="20">
        <f>$F55*100/'Table 1.1.1'!$B56</f>
        <v>2333.1517940181716</v>
      </c>
      <c r="K55" s="23">
        <f t="shared" si="7"/>
        <v>593.06555513452065</v>
      </c>
      <c r="L55" s="23">
        <f t="shared" si="7"/>
        <v>324.67382519339566</v>
      </c>
      <c r="M55" s="23">
        <f t="shared" si="7"/>
        <v>1385.7947276967398</v>
      </c>
      <c r="N55" s="23">
        <f t="shared" si="7"/>
        <v>758.65179209457551</v>
      </c>
      <c r="O55" s="23">
        <f>100*$B55*('Table 1.1.1'!$E$7/'Table 1.1.1'!$E56)/$B$6</f>
        <v>992.37984015523125</v>
      </c>
      <c r="P55" s="23">
        <f>100*$F55*('Table 1.1.1'!$E$7/'Table 1.1.1'!$E56)/$F$6</f>
        <v>543.27724671286887</v>
      </c>
      <c r="Q55" s="23">
        <f>100*$B55*('Table 1.1.1'!$H$7/'Table 1.1.1'!$H56)/$B$6</f>
        <v>1084.9654096965544</v>
      </c>
      <c r="R55" s="23">
        <f>100*$F55*('Table 1.1.1'!$H$7/'Table 1.1.1'!$H56)/$F$6</f>
        <v>593.96311443251625</v>
      </c>
    </row>
    <row r="56" spans="1:18" ht="12.75" customHeight="1">
      <c r="A56" s="24">
        <v>1979</v>
      </c>
      <c r="B56" s="23">
        <v>221658</v>
      </c>
      <c r="C56" s="22">
        <v>228</v>
      </c>
      <c r="D56" s="22">
        <v>225.10599999999999</v>
      </c>
      <c r="E56" s="20">
        <f t="shared" si="1"/>
        <v>972.18421052631584</v>
      </c>
      <c r="F56" s="20">
        <f t="shared" si="2"/>
        <v>984.68277167201234</v>
      </c>
      <c r="G56" s="22">
        <v>6459.2</v>
      </c>
      <c r="H56" s="23">
        <v>28694</v>
      </c>
      <c r="I56" s="20">
        <f>$B56*100/'Table 1.1.1'!$B57</f>
        <v>543946.0122699386</v>
      </c>
      <c r="J56" s="20">
        <f>$F56*100/'Table 1.1.1'!$B57</f>
        <v>2416.3994396859198</v>
      </c>
      <c r="K56" s="23">
        <f t="shared" si="7"/>
        <v>611.89844638120508</v>
      </c>
      <c r="L56" s="23">
        <f t="shared" si="7"/>
        <v>331.3012354231613</v>
      </c>
      <c r="M56" s="23">
        <f t="shared" si="7"/>
        <v>1451.2090285333622</v>
      </c>
      <c r="N56" s="23">
        <f t="shared" si="7"/>
        <v>785.72074480284471</v>
      </c>
      <c r="O56" s="23">
        <f>100*$B56*('Table 1.1.1'!$E$7/'Table 1.1.1'!$E57)/$B$6</f>
        <v>1028.7874472770484</v>
      </c>
      <c r="P56" s="23">
        <f>100*$F56*('Table 1.1.1'!$E$7/'Table 1.1.1'!$E57)/$F$6</f>
        <v>557.01117028969509</v>
      </c>
      <c r="Q56" s="23">
        <f>100*$B56*('Table 1.1.1'!$H$7/'Table 1.1.1'!$H57)/$B$6</f>
        <v>1126.095043692495</v>
      </c>
      <c r="R56" s="23">
        <f>100*$F56*('Table 1.1.1'!$H$7/'Table 1.1.1'!$H57)/$F$6</f>
        <v>609.69592874092166</v>
      </c>
    </row>
    <row r="57" spans="1:18" ht="18" customHeight="1">
      <c r="A57" s="24">
        <v>1980</v>
      </c>
      <c r="B57" s="23">
        <v>255784</v>
      </c>
      <c r="C57" s="22">
        <v>230</v>
      </c>
      <c r="D57" s="22">
        <v>227.726</v>
      </c>
      <c r="E57" s="25">
        <v>1110</v>
      </c>
      <c r="F57" s="20">
        <f t="shared" si="2"/>
        <v>1123.2094710309759</v>
      </c>
      <c r="G57" s="22">
        <v>6443.4</v>
      </c>
      <c r="H57" s="23">
        <v>28295</v>
      </c>
      <c r="I57" s="20">
        <f>$B57*100/'Table 1.1.1'!$B58</f>
        <v>575765.89758019138</v>
      </c>
      <c r="J57" s="20">
        <f>$F57*100/'Table 1.1.1'!$B58</f>
        <v>2528.3274530804188</v>
      </c>
      <c r="K57" s="23">
        <f t="shared" si="7"/>
        <v>610.40166729821908</v>
      </c>
      <c r="L57" s="23">
        <f t="shared" si="7"/>
        <v>326.69437709271449</v>
      </c>
      <c r="M57" s="23">
        <f t="shared" si="7"/>
        <v>1536.1022050757044</v>
      </c>
      <c r="N57" s="23">
        <f t="shared" si="7"/>
        <v>822.11545695360542</v>
      </c>
      <c r="O57" s="23">
        <f>100*$B57*('Table 1.1.1'!$E$7/'Table 1.1.1'!$E58)/$B$6</f>
        <v>1062.9064925296307</v>
      </c>
      <c r="P57" s="23">
        <f>100*$F57*('Table 1.1.1'!$E$7/'Table 1.1.1'!$E58)/$F$6</f>
        <v>568.86309642520553</v>
      </c>
      <c r="Q57" s="23">
        <f>100*$B57*('Table 1.1.1'!$H$7/'Table 1.1.1'!$H58)/$B$6</f>
        <v>1171.0810851784954</v>
      </c>
      <c r="R57" s="23">
        <f>100*$F57*('Table 1.1.1'!$H$7/'Table 1.1.1'!$H58)/$F$6</f>
        <v>626.75768467098487</v>
      </c>
    </row>
    <row r="58" spans="1:18" ht="12.75" customHeight="1">
      <c r="A58" s="24">
        <v>1981</v>
      </c>
      <c r="B58" s="23">
        <v>296739</v>
      </c>
      <c r="C58" s="22">
        <v>233</v>
      </c>
      <c r="D58" s="22">
        <v>230.00800000000001</v>
      </c>
      <c r="E58" s="20">
        <f t="shared" si="1"/>
        <v>1273.5579399141632</v>
      </c>
      <c r="F58" s="20">
        <f t="shared" si="2"/>
        <v>1290.1246913150846</v>
      </c>
      <c r="G58" s="22">
        <v>6610.6</v>
      </c>
      <c r="H58" s="23">
        <v>28741</v>
      </c>
      <c r="I58" s="20">
        <f>$B58*100/'Table 1.1.1'!$B59</f>
        <v>610926.04792884784</v>
      </c>
      <c r="J58" s="20">
        <f>$F58*100/'Table 1.1.1'!$B59</f>
        <v>2656.107822027268</v>
      </c>
      <c r="K58" s="23">
        <f t="shared" si="7"/>
        <v>626.24100037893152</v>
      </c>
      <c r="L58" s="23">
        <f t="shared" si="7"/>
        <v>331.84389793326403</v>
      </c>
      <c r="M58" s="23">
        <f t="shared" si="7"/>
        <v>1629.9069696655386</v>
      </c>
      <c r="N58" s="23">
        <f t="shared" si="7"/>
        <v>863.66474926479327</v>
      </c>
      <c r="O58" s="23">
        <f>100*$B58*('Table 1.1.1'!$E$7/'Table 1.1.1'!$E59)/$B$6</f>
        <v>1101.1262640121672</v>
      </c>
      <c r="P58" s="23">
        <f>100*$F58*('Table 1.1.1'!$E$7/'Table 1.1.1'!$E59)/$F$6</f>
        <v>583.47130015162486</v>
      </c>
      <c r="Q58" s="23">
        <f>100*$B58*('Table 1.1.1'!$H$7/'Table 1.1.1'!$H59)/$B$6</f>
        <v>1227.4830612835358</v>
      </c>
      <c r="R58" s="23">
        <f>100*$F58*('Table 1.1.1'!$H$7/'Table 1.1.1'!$H59)/$F$6</f>
        <v>650.42598754441042</v>
      </c>
    </row>
    <row r="59" spans="1:18" ht="12.75" customHeight="1">
      <c r="A59" s="24">
        <v>1982</v>
      </c>
      <c r="B59" s="23">
        <v>334699</v>
      </c>
      <c r="C59" s="22">
        <v>235</v>
      </c>
      <c r="D59" s="22">
        <v>232.21799999999999</v>
      </c>
      <c r="E59" s="20">
        <f t="shared" si="1"/>
        <v>1424.2510638297872</v>
      </c>
      <c r="F59" s="20">
        <f t="shared" si="2"/>
        <v>1441.3137655134401</v>
      </c>
      <c r="G59" s="22">
        <v>6484.3</v>
      </c>
      <c r="H59" s="23">
        <v>27923</v>
      </c>
      <c r="I59" s="20">
        <f>$B59*100/'Table 1.1.1'!$B60</f>
        <v>648817.50862637151</v>
      </c>
      <c r="J59" s="20">
        <f>$F59*100/'Table 1.1.1'!$B60</f>
        <v>2794.0017941174738</v>
      </c>
      <c r="K59" s="23">
        <f t="shared" si="7"/>
        <v>614.27624100037895</v>
      </c>
      <c r="L59" s="23">
        <f t="shared" si="7"/>
        <v>322.39926105530537</v>
      </c>
      <c r="M59" s="23">
        <f t="shared" si="7"/>
        <v>1730.998674776293</v>
      </c>
      <c r="N59" s="23">
        <f t="shared" si="7"/>
        <v>908.50259878383713</v>
      </c>
      <c r="O59" s="23">
        <f>100*$B59*('Table 1.1.1'!$E$7/'Table 1.1.1'!$E60)/$B$6</f>
        <v>1118.1540029853113</v>
      </c>
      <c r="P59" s="23">
        <f>100*$F59*('Table 1.1.1'!$E$7/'Table 1.1.1'!$E60)/$F$6</f>
        <v>586.85534099787174</v>
      </c>
      <c r="Q59" s="23">
        <f>100*$B59*('Table 1.1.1'!$H$7/'Table 1.1.1'!$H60)/$B$6</f>
        <v>1240.8180188689182</v>
      </c>
      <c r="R59" s="23">
        <f>100*$F59*('Table 1.1.1'!$H$7/'Table 1.1.1'!$H60)/$F$6</f>
        <v>651.23469543147405</v>
      </c>
    </row>
    <row r="60" spans="1:18" ht="12.75" customHeight="1">
      <c r="A60" s="24">
        <v>1983</v>
      </c>
      <c r="B60" s="23">
        <v>368987</v>
      </c>
      <c r="C60" s="22">
        <v>237</v>
      </c>
      <c r="D60" s="22">
        <v>234.333</v>
      </c>
      <c r="E60" s="20">
        <f t="shared" si="1"/>
        <v>1556.9071729957807</v>
      </c>
      <c r="F60" s="20">
        <f t="shared" si="2"/>
        <v>1574.6267064391272</v>
      </c>
      <c r="G60" s="22">
        <v>6784.7</v>
      </c>
      <c r="H60" s="23">
        <v>28953</v>
      </c>
      <c r="I60" s="20">
        <f>$B60*100/'Table 1.1.1'!$B61</f>
        <v>688113.30958730401</v>
      </c>
      <c r="J60" s="20">
        <f>$F60*100/'Table 1.1.1'!$B61</f>
        <v>2936.476337465504</v>
      </c>
      <c r="K60" s="23">
        <f t="shared" si="7"/>
        <v>642.73399014778329</v>
      </c>
      <c r="L60" s="23">
        <f t="shared" si="7"/>
        <v>334.2916522341531</v>
      </c>
      <c r="M60" s="23">
        <f t="shared" si="7"/>
        <v>1835.8370591960602</v>
      </c>
      <c r="N60" s="23">
        <f t="shared" si="7"/>
        <v>954.82987500991089</v>
      </c>
      <c r="O60" s="23">
        <f>100*$B60*('Table 1.1.1'!$E$7/'Table 1.1.1'!$E61)/$B$6</f>
        <v>1130.8329013090631</v>
      </c>
      <c r="P60" s="23">
        <f>100*$F60*('Table 1.1.1'!$E$7/'Table 1.1.1'!$E61)/$F$6</f>
        <v>588.15298035592934</v>
      </c>
      <c r="Q60" s="23">
        <f>100*$B60*('Table 1.1.1'!$H$7/'Table 1.1.1'!$H61)/$B$6</f>
        <v>1257.7910332790711</v>
      </c>
      <c r="R60" s="23">
        <f>100*$F60*('Table 1.1.1'!$H$7/'Table 1.1.1'!$H61)/$F$6</f>
        <v>654.18466692265554</v>
      </c>
    </row>
    <row r="61" spans="1:18" ht="12.75" customHeight="1">
      <c r="A61" s="24">
        <v>1984</v>
      </c>
      <c r="B61" s="23">
        <v>406512</v>
      </c>
      <c r="C61" s="22">
        <v>239</v>
      </c>
      <c r="D61" s="22">
        <v>236.39400000000001</v>
      </c>
      <c r="E61" s="20">
        <f t="shared" si="1"/>
        <v>1700.8870292887029</v>
      </c>
      <c r="F61" s="20">
        <f t="shared" si="2"/>
        <v>1719.6375542526459</v>
      </c>
      <c r="G61" s="22">
        <v>7277.2</v>
      </c>
      <c r="H61" s="23">
        <v>30784</v>
      </c>
      <c r="I61" s="20">
        <f>$B61*100/'Table 1.1.1'!$B62</f>
        <v>732124.26834759116</v>
      </c>
      <c r="J61" s="20">
        <f>$F61*100/'Table 1.1.1'!$B62</f>
        <v>3097.050975691393</v>
      </c>
      <c r="K61" s="23">
        <f t="shared" si="7"/>
        <v>689.38992042440327</v>
      </c>
      <c r="L61" s="23">
        <f t="shared" si="7"/>
        <v>355.43239810645423</v>
      </c>
      <c r="M61" s="23">
        <f t="shared" si="7"/>
        <v>1953.2551471434401</v>
      </c>
      <c r="N61" s="23">
        <f t="shared" si="7"/>
        <v>1007.0426103181478</v>
      </c>
      <c r="O61" s="23">
        <f>100*$B61*('Table 1.1.1'!$E$7/'Table 1.1.1'!$E62)/$B$6</f>
        <v>1160.1310045561793</v>
      </c>
      <c r="P61" s="23">
        <f>100*$F61*('Table 1.1.1'!$E$7/'Table 1.1.1'!$E62)/$F$6</f>
        <v>598.13043720778887</v>
      </c>
      <c r="Q61" s="23">
        <f>100*$B61*('Table 1.1.1'!$H$7/'Table 1.1.1'!$H62)/$B$6</f>
        <v>1305.2614964578843</v>
      </c>
      <c r="R61" s="23">
        <f>100*$F61*('Table 1.1.1'!$H$7/'Table 1.1.1'!$H62)/$F$6</f>
        <v>672.95557698289315</v>
      </c>
    </row>
    <row r="62" spans="1:18" ht="12.75" customHeight="1">
      <c r="A62" s="24">
        <v>1985</v>
      </c>
      <c r="B62" s="23">
        <v>444608</v>
      </c>
      <c r="C62" s="22">
        <v>242</v>
      </c>
      <c r="D62" s="22">
        <v>238.506</v>
      </c>
      <c r="E62" s="20">
        <f t="shared" si="1"/>
        <v>1837.2231404958677</v>
      </c>
      <c r="F62" s="20">
        <f t="shared" si="2"/>
        <v>1864.1375898300253</v>
      </c>
      <c r="G62" s="22">
        <v>7585.7</v>
      </c>
      <c r="H62" s="23">
        <v>31805</v>
      </c>
      <c r="I62" s="20">
        <f>$B62*100/'Table 1.1.1'!$B63</f>
        <v>775903.10983909806</v>
      </c>
      <c r="J62" s="20">
        <f>$F62*100/'Table 1.1.1'!$B63</f>
        <v>3253.1806740253837</v>
      </c>
      <c r="K62" s="23">
        <f t="shared" si="7"/>
        <v>718.61500568397128</v>
      </c>
      <c r="L62" s="23">
        <f t="shared" si="7"/>
        <v>367.22087518762265</v>
      </c>
      <c r="M62" s="23">
        <f t="shared" si="7"/>
        <v>2070.0539628311949</v>
      </c>
      <c r="N62" s="23">
        <f t="shared" si="7"/>
        <v>1057.8100210558243</v>
      </c>
      <c r="O62" s="23">
        <f>100*$B62*('Table 1.1.1'!$E$7/'Table 1.1.1'!$E63)/$B$6</f>
        <v>1195.827943138177</v>
      </c>
      <c r="P62" s="23">
        <f>100*$F62*('Table 1.1.1'!$E$7/'Table 1.1.1'!$E63)/$F$6</f>
        <v>611.07526877225212</v>
      </c>
      <c r="Q62" s="23">
        <f>100*$B62*('Table 1.1.1'!$H$7/'Table 1.1.1'!$H63)/$B$6</f>
        <v>1343.3117725575496</v>
      </c>
      <c r="R62" s="23">
        <f>100*$F62*('Table 1.1.1'!$H$7/'Table 1.1.1'!$H63)/$F$6</f>
        <v>686.44039234136267</v>
      </c>
    </row>
    <row r="63" spans="1:18" ht="12.75" customHeight="1">
      <c r="A63" s="24">
        <v>1986</v>
      </c>
      <c r="B63" s="23">
        <v>476892</v>
      </c>
      <c r="C63" s="22">
        <v>244</v>
      </c>
      <c r="D63" s="22">
        <v>240.68299999999999</v>
      </c>
      <c r="E63" s="20">
        <f t="shared" si="1"/>
        <v>1954.4754098360656</v>
      </c>
      <c r="F63" s="20">
        <f t="shared" si="2"/>
        <v>1981.4112338636298</v>
      </c>
      <c r="G63" s="22">
        <v>7852.1</v>
      </c>
      <c r="H63" s="23">
        <v>32624</v>
      </c>
      <c r="I63" s="20">
        <f>$B63*100/'Table 1.1.1'!$B64</f>
        <v>815785.69229190191</v>
      </c>
      <c r="J63" s="20">
        <f>$F63*100/'Table 1.1.1'!$B64</f>
        <v>3389.4612095241537</v>
      </c>
      <c r="K63" s="23">
        <f t="shared" si="7"/>
        <v>743.85183781735509</v>
      </c>
      <c r="L63" s="23">
        <f t="shared" si="7"/>
        <v>376.67705807643461</v>
      </c>
      <c r="M63" s="23">
        <f t="shared" si="7"/>
        <v>2176.4578382731802</v>
      </c>
      <c r="N63" s="23">
        <f t="shared" si="7"/>
        <v>1102.1232426596757</v>
      </c>
      <c r="O63" s="23">
        <f>100*$B63*('Table 1.1.1'!$E$7/'Table 1.1.1'!$E64)/$B$6</f>
        <v>1210.9531303579115</v>
      </c>
      <c r="P63" s="23">
        <f>100*$F63*('Table 1.1.1'!$E$7/'Table 1.1.1'!$E64)/$F$6</f>
        <v>613.20718796824679</v>
      </c>
      <c r="Q63" s="23">
        <f>100*$B63*('Table 1.1.1'!$H$7/'Table 1.1.1'!$H64)/$B$6</f>
        <v>1340.4654229703367</v>
      </c>
      <c r="R63" s="23">
        <f>100*$F63*('Table 1.1.1'!$H$7/'Table 1.1.1'!$H64)/$F$6</f>
        <v>678.79012984206906</v>
      </c>
    </row>
    <row r="64" spans="1:18" ht="12.75" customHeight="1">
      <c r="A64" s="24">
        <v>1987</v>
      </c>
      <c r="B64" s="23">
        <v>519117</v>
      </c>
      <c r="C64" s="22">
        <v>246</v>
      </c>
      <c r="D64" s="22">
        <v>242.84299999999999</v>
      </c>
      <c r="E64" s="20">
        <f t="shared" si="1"/>
        <v>2110.231707317073</v>
      </c>
      <c r="F64" s="20">
        <f t="shared" si="2"/>
        <v>2137.6650757897078</v>
      </c>
      <c r="G64" s="22">
        <v>8123.9</v>
      </c>
      <c r="H64" s="23">
        <v>33453</v>
      </c>
      <c r="I64" s="20">
        <f>$B64*100/'Table 1.1.1'!$B65</f>
        <v>865931.04138517741</v>
      </c>
      <c r="J64" s="20">
        <f>$F64*100/'Table 1.1.1'!$B65</f>
        <v>3565.8060614684277</v>
      </c>
      <c r="K64" s="23">
        <f t="shared" si="7"/>
        <v>769.60022735884809</v>
      </c>
      <c r="L64" s="23">
        <f t="shared" si="7"/>
        <v>386.24870107377899</v>
      </c>
      <c r="M64" s="23">
        <f t="shared" si="7"/>
        <v>2310.242040568251</v>
      </c>
      <c r="N64" s="23">
        <f t="shared" si="7"/>
        <v>1159.4638487433335</v>
      </c>
      <c r="O64" s="23">
        <f>100*$B64*('Table 1.1.1'!$E$7/'Table 1.1.1'!$E65)/$B$6</f>
        <v>1239.7061511599995</v>
      </c>
      <c r="P64" s="23">
        <f>100*$F64*('Table 1.1.1'!$E$7/'Table 1.1.1'!$E65)/$F$6</f>
        <v>622.18349423734026</v>
      </c>
      <c r="Q64" s="23">
        <f>100*$B64*('Table 1.1.1'!$H$7/'Table 1.1.1'!$H65)/$B$6</f>
        <v>1368.3064189442175</v>
      </c>
      <c r="R64" s="23">
        <f>100*$F64*('Table 1.1.1'!$H$7/'Table 1.1.1'!$H65)/$F$6</f>
        <v>686.72537288735248</v>
      </c>
    </row>
    <row r="65" spans="1:18" ht="12.75" customHeight="1">
      <c r="A65" s="24">
        <v>1988</v>
      </c>
      <c r="B65" s="23">
        <v>581698</v>
      </c>
      <c r="C65" s="22">
        <v>248</v>
      </c>
      <c r="D65" s="22">
        <v>245.06100000000001</v>
      </c>
      <c r="E65" s="20">
        <f t="shared" si="1"/>
        <v>2345.5564516129034</v>
      </c>
      <c r="F65" s="20">
        <f t="shared" si="2"/>
        <v>2373.6865515116642</v>
      </c>
      <c r="G65" s="22">
        <v>8465.4</v>
      </c>
      <c r="H65" s="23">
        <v>34544</v>
      </c>
      <c r="I65" s="20">
        <f>$B65*100/'Table 1.1.1'!$B66</f>
        <v>937496.77668901498</v>
      </c>
      <c r="J65" s="20">
        <f>$F65*100/'Table 1.1.1'!$B66</f>
        <v>3825.5649682691856</v>
      </c>
      <c r="K65" s="23">
        <f t="shared" si="7"/>
        <v>801.95149677908307</v>
      </c>
      <c r="L65" s="23">
        <f t="shared" si="7"/>
        <v>398.845398914675</v>
      </c>
      <c r="M65" s="23">
        <f t="shared" si="7"/>
        <v>2501.174300137824</v>
      </c>
      <c r="N65" s="23">
        <f t="shared" si="7"/>
        <v>1243.9275174434028</v>
      </c>
      <c r="O65" s="23">
        <f>100*$B65*('Table 1.1.1'!$E$7/'Table 1.1.1'!$E66)/$B$6</f>
        <v>1292.3227365949081</v>
      </c>
      <c r="P65" s="23">
        <f>100*$F65*('Table 1.1.1'!$E$7/'Table 1.1.1'!$E66)/$F$6</f>
        <v>642.7204267129988</v>
      </c>
      <c r="Q65" s="23">
        <f>100*$B65*('Table 1.1.1'!$H$7/'Table 1.1.1'!$H66)/$B$6</f>
        <v>1439.228498039444</v>
      </c>
      <c r="R65" s="23">
        <f>100*$F65*('Table 1.1.1'!$H$7/'Table 1.1.1'!$H66)/$F$6</f>
        <v>715.78215580631479</v>
      </c>
    </row>
    <row r="66" spans="1:18" ht="12.75" customHeight="1">
      <c r="A66" s="24">
        <v>1989</v>
      </c>
      <c r="B66" s="23">
        <v>647465</v>
      </c>
      <c r="C66" s="22">
        <v>251</v>
      </c>
      <c r="D66" s="22">
        <v>247.387</v>
      </c>
      <c r="E66" s="20">
        <f t="shared" si="1"/>
        <v>2579.5418326693225</v>
      </c>
      <c r="F66" s="20">
        <f t="shared" si="2"/>
        <v>2617.2151325655755</v>
      </c>
      <c r="G66" s="22">
        <v>8777</v>
      </c>
      <c r="H66" s="23">
        <v>35479</v>
      </c>
      <c r="I66" s="20">
        <f>$B66*100/'Table 1.1.1'!$B67</f>
        <v>1004444.6168166306</v>
      </c>
      <c r="J66" s="20">
        <f>$F66*100/'Table 1.1.1'!$B67</f>
        <v>4060.2158432602787</v>
      </c>
      <c r="K66" s="23">
        <f t="shared" si="7"/>
        <v>831.47025388404711</v>
      </c>
      <c r="L66" s="23">
        <f t="shared" si="7"/>
        <v>409.64091906246392</v>
      </c>
      <c r="M66" s="23">
        <f t="shared" si="7"/>
        <v>2679.7863458968609</v>
      </c>
      <c r="N66" s="23">
        <f t="shared" si="7"/>
        <v>1320.2270138092044</v>
      </c>
      <c r="O66" s="23">
        <f>100*$B66*('Table 1.1.1'!$E$7/'Table 1.1.1'!$E67)/$B$6</f>
        <v>1326.4558188475792</v>
      </c>
      <c r="P66" s="23">
        <f>100*$F66*('Table 1.1.1'!$E$7/'Table 1.1.1'!$E67)/$F$6</f>
        <v>653.49344262028831</v>
      </c>
      <c r="Q66" s="23">
        <f>100*$B66*('Table 1.1.1'!$H$7/'Table 1.1.1'!$H67)/$B$6</f>
        <v>1487.1401486854677</v>
      </c>
      <c r="R66" s="23">
        <f>100*$F66*('Table 1.1.1'!$H$7/'Table 1.1.1'!$H67)/$F$6</f>
        <v>732.65639278332094</v>
      </c>
    </row>
    <row r="67" spans="1:18" ht="18" customHeight="1">
      <c r="A67" s="24">
        <v>1990</v>
      </c>
      <c r="B67" s="23">
        <v>724278</v>
      </c>
      <c r="C67" s="22">
        <v>254</v>
      </c>
      <c r="D67" s="22">
        <v>250.18100000000001</v>
      </c>
      <c r="E67" s="25">
        <v>2854</v>
      </c>
      <c r="F67" s="20">
        <f t="shared" si="2"/>
        <v>2895.0160084099111</v>
      </c>
      <c r="G67" s="22">
        <v>8945.4</v>
      </c>
      <c r="H67" s="23">
        <v>35756</v>
      </c>
      <c r="I67" s="20">
        <f>$B67*100/'Table 1.1.1'!$B68</f>
        <v>1083518.5877776947</v>
      </c>
      <c r="J67" s="20">
        <f>$F67*100/'Table 1.1.1'!$B68</f>
        <v>4330.9387514547252</v>
      </c>
      <c r="K67" s="23">
        <f t="shared" si="7"/>
        <v>847.42326638878376</v>
      </c>
      <c r="L67" s="23">
        <f t="shared" si="7"/>
        <v>412.83916406881423</v>
      </c>
      <c r="M67" s="23">
        <f t="shared" si="7"/>
        <v>2890.7500408080646</v>
      </c>
      <c r="N67" s="23">
        <f t="shared" si="7"/>
        <v>1408.2557567265512</v>
      </c>
      <c r="O67" s="23">
        <f>100*$B67*('Table 1.1.1'!$E$7/'Table 1.1.1'!$E68)/$B$6</f>
        <v>1369.8941437737087</v>
      </c>
      <c r="P67" s="23">
        <f>100*$F67*('Table 1.1.1'!$E$7/'Table 1.1.1'!$E68)/$F$6</f>
        <v>667.35666759207163</v>
      </c>
      <c r="Q67" s="23">
        <f>100*$B67*('Table 1.1.1'!$H$7/'Table 1.1.1'!$H68)/$B$6</f>
        <v>1525.6197513395725</v>
      </c>
      <c r="R67" s="23">
        <f>100*$F67*('Table 1.1.1'!$H$7/'Table 1.1.1'!$H68)/$F$6</f>
        <v>743.21984504724344</v>
      </c>
    </row>
    <row r="68" spans="1:18" ht="12.75" customHeight="1">
      <c r="A68" s="24">
        <v>1991</v>
      </c>
      <c r="B68" s="23">
        <v>791525</v>
      </c>
      <c r="C68" s="22">
        <v>257</v>
      </c>
      <c r="D68" s="22">
        <v>253.53</v>
      </c>
      <c r="E68" s="20">
        <f t="shared" si="1"/>
        <v>3079.8638132295719</v>
      </c>
      <c r="F68" s="20">
        <f t="shared" si="2"/>
        <v>3122.0171182897489</v>
      </c>
      <c r="G68" s="22">
        <v>8938.9</v>
      </c>
      <c r="H68" s="23">
        <v>35258</v>
      </c>
      <c r="I68" s="20">
        <f>$B68*100/'Table 1.1.1'!$B69</f>
        <v>1145991.6894699503</v>
      </c>
      <c r="J68" s="20">
        <f>$F68*100/'Table 1.1.1'!$B69</f>
        <v>4520.1423479270716</v>
      </c>
      <c r="K68" s="23">
        <f t="shared" si="7"/>
        <v>846.80750284198564</v>
      </c>
      <c r="L68" s="23">
        <f t="shared" si="7"/>
        <v>407.0892506638956</v>
      </c>
      <c r="M68" s="23">
        <f t="shared" si="7"/>
        <v>3057.423804694934</v>
      </c>
      <c r="N68" s="23">
        <f t="shared" si="7"/>
        <v>1469.7775350791201</v>
      </c>
      <c r="O68" s="23">
        <f>100*$B68*('Table 1.1.1'!$E$7/'Table 1.1.1'!$E69)/$B$6</f>
        <v>1391.1773336763652</v>
      </c>
      <c r="P68" s="23">
        <f>100*$F68*('Table 1.1.1'!$E$7/'Table 1.1.1'!$E69)/$F$6</f>
        <v>668.77257552876597</v>
      </c>
      <c r="Q68" s="23">
        <f>100*$B68*('Table 1.1.1'!$H$7/'Table 1.1.1'!$H69)/$B$6</f>
        <v>1533.510590511233</v>
      </c>
      <c r="R68" s="23">
        <f>100*$F68*('Table 1.1.1'!$H$7/'Table 1.1.1'!$H69)/$F$6</f>
        <v>737.19561294650771</v>
      </c>
    </row>
    <row r="69" spans="1:18" ht="12.75" customHeight="1">
      <c r="A69" s="24">
        <v>1992</v>
      </c>
      <c r="B69" s="23">
        <v>857910</v>
      </c>
      <c r="C69" s="22">
        <v>260</v>
      </c>
      <c r="D69" s="22">
        <v>256.92200000000003</v>
      </c>
      <c r="E69" s="20">
        <f t="shared" si="1"/>
        <v>3299.6538461538462</v>
      </c>
      <c r="F69" s="20">
        <f t="shared" si="2"/>
        <v>3339.1846552650218</v>
      </c>
      <c r="G69" s="22">
        <v>9256.7000000000007</v>
      </c>
      <c r="H69" s="23">
        <v>36029</v>
      </c>
      <c r="I69" s="20">
        <f>$B69*100/'Table 1.1.1'!$B70</f>
        <v>1214413.1136402241</v>
      </c>
      <c r="J69" s="20">
        <f>$F69*100/'Table 1.1.1'!$B70</f>
        <v>4726.7774407805637</v>
      </c>
      <c r="K69" s="23">
        <f t="shared" si="7"/>
        <v>876.91360363774174</v>
      </c>
      <c r="L69" s="23">
        <f t="shared" si="7"/>
        <v>415.99122503175153</v>
      </c>
      <c r="M69" s="23">
        <f t="shared" si="7"/>
        <v>3239.967267209991</v>
      </c>
      <c r="N69" s="23">
        <f t="shared" si="7"/>
        <v>1536.9673698360566</v>
      </c>
      <c r="O69" s="23">
        <f>100*$B69*('Table 1.1.1'!$E$7/'Table 1.1.1'!$E70)/$B$6</f>
        <v>1411.6640971257539</v>
      </c>
      <c r="P69" s="23">
        <f>100*$F69*('Table 1.1.1'!$E$7/'Table 1.1.1'!$E70)/$F$6</f>
        <v>669.66159701968934</v>
      </c>
      <c r="Q69" s="23">
        <f>100*$B69*('Table 1.1.1'!$H$7/'Table 1.1.1'!$H70)/$B$6</f>
        <v>1547.5868212361827</v>
      </c>
      <c r="R69" s="23">
        <f>100*$F69*('Table 1.1.1'!$H$7/'Table 1.1.1'!$H70)/$F$6</f>
        <v>734.14027058260274</v>
      </c>
    </row>
    <row r="70" spans="1:18" ht="12.75" customHeight="1">
      <c r="A70" s="24">
        <v>1993</v>
      </c>
      <c r="B70" s="23">
        <v>921492</v>
      </c>
      <c r="C70" s="22">
        <v>263</v>
      </c>
      <c r="D70" s="22">
        <v>260.28199999999998</v>
      </c>
      <c r="E70" s="20">
        <f t="shared" si="1"/>
        <v>3503.7718631178709</v>
      </c>
      <c r="F70" s="20">
        <f t="shared" si="2"/>
        <v>3540.3600709999159</v>
      </c>
      <c r="G70" s="22">
        <v>9510.7999999999993</v>
      </c>
      <c r="H70" s="23">
        <v>36540</v>
      </c>
      <c r="I70" s="20">
        <f>$B70*100/'Table 1.1.1'!$B71</f>
        <v>1274098.8593155893</v>
      </c>
      <c r="J70" s="20">
        <f>$F70*100/'Table 1.1.1'!$B71</f>
        <v>4895.070958866113</v>
      </c>
      <c r="K70" s="23">
        <f t="shared" si="7"/>
        <v>900.98522167487681</v>
      </c>
      <c r="L70" s="23">
        <f t="shared" si="7"/>
        <v>421.89123657776236</v>
      </c>
      <c r="M70" s="23">
        <f t="shared" si="7"/>
        <v>3399.2045647450486</v>
      </c>
      <c r="N70" s="23">
        <f t="shared" si="7"/>
        <v>1591.689989864828</v>
      </c>
      <c r="O70" s="23">
        <f>100*$B70*('Table 1.1.1'!$E$7/'Table 1.1.1'!$E71)/$B$6</f>
        <v>1443.5178456589163</v>
      </c>
      <c r="P70" s="23">
        <f>100*$F70*('Table 1.1.1'!$E$7/'Table 1.1.1'!$E71)/$F$6</f>
        <v>675.93251931834482</v>
      </c>
      <c r="Q70" s="23">
        <f>100*$B70*('Table 1.1.1'!$H$7/'Table 1.1.1'!$H71)/$B$6</f>
        <v>1569.0165065107951</v>
      </c>
      <c r="R70" s="23">
        <f>100*$F70*('Table 1.1.1'!$H$7/'Table 1.1.1'!$H71)/$F$6</f>
        <v>734.69772700579642</v>
      </c>
    </row>
    <row r="71" spans="1:18" ht="12.75" customHeight="1">
      <c r="A71" s="24">
        <v>1994</v>
      </c>
      <c r="B71" s="23">
        <v>972687</v>
      </c>
      <c r="C71" s="22">
        <v>266</v>
      </c>
      <c r="D71" s="22">
        <v>263.45499999999998</v>
      </c>
      <c r="E71" s="20">
        <f t="shared" ref="E71:E76" si="8">$B71/C71</f>
        <v>3656.718045112782</v>
      </c>
      <c r="F71" s="20">
        <f t="shared" ref="F71:F98" si="9">B71/D71</f>
        <v>3692.0422842610697</v>
      </c>
      <c r="G71" s="22">
        <v>9894.7000000000007</v>
      </c>
      <c r="H71" s="23">
        <v>37557</v>
      </c>
      <c r="I71" s="20">
        <f>$B71*100/'Table 1.1.1'!$B72</f>
        <v>1316844.2428755162</v>
      </c>
      <c r="J71" s="20">
        <f>$F71*100/'Table 1.1.1'!$B72</f>
        <v>4998.3649688771002</v>
      </c>
      <c r="K71" s="23">
        <f t="shared" si="7"/>
        <v>937.35316407730215</v>
      </c>
      <c r="L71" s="23">
        <f t="shared" si="7"/>
        <v>433.63352961551783</v>
      </c>
      <c r="M71" s="23">
        <f t="shared" si="7"/>
        <v>3513.2461886397064</v>
      </c>
      <c r="N71" s="23">
        <f t="shared" si="7"/>
        <v>1625.2772541004356</v>
      </c>
      <c r="O71" s="23">
        <f>100*$B71*('Table 1.1.1'!$E$7/'Table 1.1.1'!$E72)/$B$6</f>
        <v>1467.4631432424242</v>
      </c>
      <c r="P71" s="23">
        <f>100*$F71*('Table 1.1.1'!$E$7/'Table 1.1.1'!$E72)/$F$6</f>
        <v>678.86915401909323</v>
      </c>
      <c r="Q71" s="23">
        <f>100*$B71*('Table 1.1.1'!$H$7/'Table 1.1.1'!$H72)/$B$6</f>
        <v>1580.8332639313016</v>
      </c>
      <c r="R71" s="23">
        <f>100*$F71*('Table 1.1.1'!$H$7/'Table 1.1.1'!$H72)/$F$6</f>
        <v>731.31577135153714</v>
      </c>
    </row>
    <row r="72" spans="1:18" ht="12.75" customHeight="1">
      <c r="A72" s="24">
        <v>1995</v>
      </c>
      <c r="B72" s="23">
        <v>1027432</v>
      </c>
      <c r="C72" s="22">
        <v>269</v>
      </c>
      <c r="D72" s="22">
        <v>266.58800000000002</v>
      </c>
      <c r="E72" s="20">
        <f t="shared" si="8"/>
        <v>3819.4498141263939</v>
      </c>
      <c r="F72" s="20">
        <f t="shared" si="9"/>
        <v>3854.0069320449529</v>
      </c>
      <c r="G72" s="22">
        <v>10163.700000000001</v>
      </c>
      <c r="H72" s="23">
        <v>38125</v>
      </c>
      <c r="I72" s="20">
        <f>$B72*100/'Table 1.1.1'!$B73</f>
        <v>1362533.4853990397</v>
      </c>
      <c r="J72" s="20">
        <f>$F72*100/'Table 1.1.1'!$B73</f>
        <v>5111.0083177001206</v>
      </c>
      <c r="K72" s="23">
        <f t="shared" si="7"/>
        <v>962.83630162940528</v>
      </c>
      <c r="L72" s="23">
        <f t="shared" si="7"/>
        <v>440.19166378016394</v>
      </c>
      <c r="M72" s="23">
        <f t="shared" si="7"/>
        <v>3635.1418175465019</v>
      </c>
      <c r="N72" s="23">
        <f t="shared" si="7"/>
        <v>1661.9045659929652</v>
      </c>
      <c r="O72" s="23">
        <f>100*$B72*('Table 1.1.1'!$E$7/'Table 1.1.1'!$E73)/$B$6</f>
        <v>1500.0919666152399</v>
      </c>
      <c r="P72" s="23">
        <f>100*$F72*('Table 1.1.1'!$E$7/'Table 1.1.1'!$E73)/$F$6</f>
        <v>685.80809604007766</v>
      </c>
      <c r="Q72" s="23">
        <f>100*$B72*('Table 1.1.1'!$H$7/'Table 1.1.1'!$H73)/$B$6</f>
        <v>1597.8643366905931</v>
      </c>
      <c r="R72" s="23">
        <f>100*$F72*('Table 1.1.1'!$H$7/'Table 1.1.1'!$H73)/$F$6</f>
        <v>730.5074107880929</v>
      </c>
    </row>
    <row r="73" spans="1:18" ht="12.75" customHeight="1">
      <c r="A73" s="24">
        <v>1996</v>
      </c>
      <c r="B73" s="23">
        <v>1081849</v>
      </c>
      <c r="C73" s="22">
        <v>271</v>
      </c>
      <c r="D73" s="22">
        <v>269.714</v>
      </c>
      <c r="E73" s="20">
        <f t="shared" si="8"/>
        <v>3992.0627306273063</v>
      </c>
      <c r="F73" s="20">
        <f t="shared" si="9"/>
        <v>4011.0969397213344</v>
      </c>
      <c r="G73" s="22">
        <v>10549.5</v>
      </c>
      <c r="H73" s="23">
        <v>39114</v>
      </c>
      <c r="I73" s="20">
        <f>$B73*100/'Table 1.1.1'!$B74</f>
        <v>1408969.4333381087</v>
      </c>
      <c r="J73" s="20">
        <f>$F73*100/'Table 1.1.1'!$B74</f>
        <v>5223.9388142184262</v>
      </c>
      <c r="K73" s="23">
        <f t="shared" si="7"/>
        <v>999.38423645320211</v>
      </c>
      <c r="L73" s="23">
        <f t="shared" si="7"/>
        <v>451.61066851402842</v>
      </c>
      <c r="M73" s="23">
        <f t="shared" si="7"/>
        <v>3759.0296030575391</v>
      </c>
      <c r="N73" s="23">
        <f t="shared" si="7"/>
        <v>1698.6252473414313</v>
      </c>
      <c r="O73" s="23">
        <f>100*$B73*('Table 1.1.1'!$E$7/'Table 1.1.1'!$E74)/$B$6</f>
        <v>1543.5253234781237</v>
      </c>
      <c r="P73" s="23">
        <f>100*$F73*('Table 1.1.1'!$E$7/'Table 1.1.1'!$E74)/$F$6</f>
        <v>697.48614968027903</v>
      </c>
      <c r="Q73" s="23">
        <f>100*$B73*('Table 1.1.1'!$H$7/'Table 1.1.1'!$H74)/$B$6</f>
        <v>1625.7225037647029</v>
      </c>
      <c r="R73" s="23">
        <f>100*$F73*('Table 1.1.1'!$H$7/'Table 1.1.1'!$H74)/$F$6</f>
        <v>734.62930108868818</v>
      </c>
    </row>
    <row r="74" spans="1:18" ht="12.75" customHeight="1">
      <c r="A74" s="24">
        <v>1997</v>
      </c>
      <c r="B74" s="23">
        <v>1142621</v>
      </c>
      <c r="C74" s="22">
        <v>274</v>
      </c>
      <c r="D74" s="22">
        <v>272.95800000000003</v>
      </c>
      <c r="E74" s="20">
        <f t="shared" si="8"/>
        <v>4170.149635036496</v>
      </c>
      <c r="F74" s="20">
        <f t="shared" si="9"/>
        <v>4186.0689190278354</v>
      </c>
      <c r="G74" s="22">
        <v>11022.9</v>
      </c>
      <c r="H74" s="23">
        <v>40383</v>
      </c>
      <c r="I74" s="20">
        <f>$B74*100/'Table 1.1.1'!$B75</f>
        <v>1463097.9819709074</v>
      </c>
      <c r="J74" s="20">
        <f>$F74*100/'Table 1.1.1'!$B75</f>
        <v>5360.1579069706968</v>
      </c>
      <c r="K74" s="23">
        <f t="shared" si="7"/>
        <v>1044.2307692307693</v>
      </c>
      <c r="L74" s="23">
        <f t="shared" si="7"/>
        <v>466.26255628680292</v>
      </c>
      <c r="M74" s="23">
        <f t="shared" si="7"/>
        <v>3903.4406966319189</v>
      </c>
      <c r="N74" s="23">
        <f t="shared" si="7"/>
        <v>1742.918490112417</v>
      </c>
      <c r="O74" s="23">
        <f>100*$B74*('Table 1.1.1'!$E$7/'Table 1.1.1'!$E75)/$B$6</f>
        <v>1599.1577743571067</v>
      </c>
      <c r="P74" s="23">
        <f>100*$F74*('Table 1.1.1'!$E$7/'Table 1.1.1'!$E75)/$F$6</f>
        <v>714.03714572606566</v>
      </c>
      <c r="Q74" s="23">
        <f>100*$B74*('Table 1.1.1'!$H$7/'Table 1.1.1'!$H75)/$B$6</f>
        <v>1670.2043226632845</v>
      </c>
      <c r="R74" s="23">
        <f>100*$F74*('Table 1.1.1'!$H$7/'Table 1.1.1'!$H75)/$F$6</f>
        <v>745.76001596419894</v>
      </c>
    </row>
    <row r="75" spans="1:18" ht="12.75" customHeight="1">
      <c r="A75" s="24">
        <v>1998</v>
      </c>
      <c r="B75" s="23">
        <v>1208933</v>
      </c>
      <c r="C75" s="22">
        <v>277</v>
      </c>
      <c r="D75" s="22">
        <v>276.154</v>
      </c>
      <c r="E75" s="20">
        <f t="shared" si="8"/>
        <v>4364.3790613718411</v>
      </c>
      <c r="F75" s="20">
        <f t="shared" si="9"/>
        <v>4377.7493717273692</v>
      </c>
      <c r="G75" s="22">
        <v>11513.4</v>
      </c>
      <c r="H75" s="23">
        <v>41692</v>
      </c>
      <c r="I75" s="20">
        <f>$B75*100/'Table 1.1.1'!$B76</f>
        <v>1531380.4722334819</v>
      </c>
      <c r="J75" s="20">
        <f>$F75*100/'Table 1.1.1'!$B76</f>
        <v>5545.3858073157799</v>
      </c>
      <c r="K75" s="23">
        <f t="shared" si="7"/>
        <v>1090.6972338006822</v>
      </c>
      <c r="L75" s="23">
        <f t="shared" si="7"/>
        <v>481.37628449370743</v>
      </c>
      <c r="M75" s="23">
        <f t="shared" si="7"/>
        <v>4085.6134934252409</v>
      </c>
      <c r="N75" s="23">
        <f t="shared" si="7"/>
        <v>1803.1475240325381</v>
      </c>
      <c r="O75" s="23">
        <f>100*$B75*('Table 1.1.1'!$E$7/'Table 1.1.1'!$E76)/$B$6</f>
        <v>1659.5548301325591</v>
      </c>
      <c r="P75" s="23">
        <f>100*$F75*('Table 1.1.1'!$E$7/'Table 1.1.1'!$E76)/$F$6</f>
        <v>732.42909241544942</v>
      </c>
      <c r="Q75" s="23">
        <f>100*$B75*('Table 1.1.1'!$H$7/'Table 1.1.1'!$H76)/$B$6</f>
        <v>1712.3906690779372</v>
      </c>
      <c r="R75" s="23">
        <f>100*$F75*('Table 1.1.1'!$H$7/'Table 1.1.1'!$H76)/$F$6</f>
        <v>755.74769862424887</v>
      </c>
    </row>
    <row r="76" spans="1:18" ht="12.75" customHeight="1">
      <c r="A76" s="24">
        <v>1999</v>
      </c>
      <c r="B76" s="23">
        <v>1286456</v>
      </c>
      <c r="C76" s="22">
        <v>280</v>
      </c>
      <c r="D76" s="22">
        <v>279.32799999999997</v>
      </c>
      <c r="E76" s="20">
        <f t="shared" si="8"/>
        <v>4594.4857142857145</v>
      </c>
      <c r="F76" s="20">
        <f t="shared" si="9"/>
        <v>4605.5390079046856</v>
      </c>
      <c r="G76" s="22">
        <v>12071.4</v>
      </c>
      <c r="H76" s="23">
        <v>43216</v>
      </c>
      <c r="I76" s="20">
        <f>$B76*100/'Table 1.1.1'!$B77</f>
        <v>1606644.1033582697</v>
      </c>
      <c r="J76" s="20">
        <f>$F76*100/'Table 1.1.1'!$B77</f>
        <v>5751.8190205001629</v>
      </c>
      <c r="K76" s="23">
        <f t="shared" si="7"/>
        <v>1143.5581659719592</v>
      </c>
      <c r="L76" s="23">
        <f t="shared" si="7"/>
        <v>498.97240503406073</v>
      </c>
      <c r="M76" s="23">
        <f t="shared" si="7"/>
        <v>4286.411474373198</v>
      </c>
      <c r="N76" s="23">
        <f t="shared" si="7"/>
        <v>1870.2717152367709</v>
      </c>
      <c r="O76" s="23">
        <f>100*$B76*('Table 1.1.1'!$E$7/'Table 1.1.1'!$E77)/$B$6</f>
        <v>1724.0921685727617</v>
      </c>
      <c r="P76" s="23">
        <f>100*$F76*('Table 1.1.1'!$E$7/'Table 1.1.1'!$E77)/$F$6</f>
        <v>752.26581410138283</v>
      </c>
      <c r="Q76" s="23">
        <f>100*$B76*('Table 1.1.1'!$H$7/'Table 1.1.1'!$H77)/$B$6</f>
        <v>1760.3915680671141</v>
      </c>
      <c r="R76" s="23">
        <f>100*$F76*('Table 1.1.1'!$H$7/'Table 1.1.1'!$H77)/$F$6</f>
        <v>768.10417692778287</v>
      </c>
    </row>
    <row r="77" spans="1:18" ht="18" customHeight="1">
      <c r="A77" s="24">
        <v>2000</v>
      </c>
      <c r="B77" s="23">
        <v>1377178</v>
      </c>
      <c r="C77" s="22">
        <v>282</v>
      </c>
      <c r="D77" s="22">
        <v>282.39800000000002</v>
      </c>
      <c r="E77" s="23">
        <v>4878</v>
      </c>
      <c r="F77" s="20">
        <f t="shared" si="9"/>
        <v>4876.7271722887554</v>
      </c>
      <c r="G77" s="22">
        <v>12565.2</v>
      </c>
      <c r="H77" s="23">
        <v>44495</v>
      </c>
      <c r="I77" s="20">
        <f>$B77*100/'Table 1.1.1'!$B78</f>
        <v>1681720.8240221757</v>
      </c>
      <c r="J77" s="20">
        <f>$F77*100/'Table 1.1.1'!$B78</f>
        <v>5955.1442433097109</v>
      </c>
      <c r="K77" s="23">
        <f t="shared" si="7"/>
        <v>1190.3372489579388</v>
      </c>
      <c r="L77" s="23">
        <f t="shared" si="7"/>
        <v>513.73975291536772</v>
      </c>
      <c r="M77" s="23">
        <f t="shared" si="7"/>
        <v>4486.7107915893876</v>
      </c>
      <c r="N77" s="23">
        <f t="shared" si="7"/>
        <v>1936.3853067561793</v>
      </c>
      <c r="O77" s="23">
        <f>100*$B77*('Table 1.1.1'!$E$7/'Table 1.1.1'!$E78)/$B$6</f>
        <v>1793.1818687178477</v>
      </c>
      <c r="P77" s="23">
        <f>100*$F77*('Table 1.1.1'!$E$7/'Table 1.1.1'!$E78)/$F$6</f>
        <v>773.90569265927456</v>
      </c>
      <c r="Q77" s="23">
        <f>100*$B77*('Table 1.1.1'!$H$7/'Table 1.1.1'!$H78)/$B$6</f>
        <v>1810.830908937807</v>
      </c>
      <c r="R77" s="23">
        <f>100*$F77*('Table 1.1.1'!$H$7/'Table 1.1.1'!$H78)/$F$6</f>
        <v>781.52270738292066</v>
      </c>
    </row>
    <row r="78" spans="1:18" ht="12.75" customHeight="1">
      <c r="A78" s="24">
        <v>2001</v>
      </c>
      <c r="B78" s="23">
        <v>1493347</v>
      </c>
      <c r="C78" s="22">
        <v>285</v>
      </c>
      <c r="D78" s="22">
        <v>285.22500000000002</v>
      </c>
      <c r="E78" s="23">
        <v>5240</v>
      </c>
      <c r="F78" s="20">
        <f t="shared" si="9"/>
        <v>5235.6806030326934</v>
      </c>
      <c r="G78" s="22">
        <v>12684.4</v>
      </c>
      <c r="H78" s="23">
        <v>44472</v>
      </c>
      <c r="I78" s="20">
        <f>$B78*100/'Table 1.1.1'!$B79</f>
        <v>1782760.3084783801</v>
      </c>
      <c r="J78" s="20">
        <f>$F78*100/'Table 1.1.1'!$B79</f>
        <v>6250.3648294447548</v>
      </c>
      <c r="K78" s="23">
        <f t="shared" si="7"/>
        <v>1201.629405077681</v>
      </c>
      <c r="L78" s="23">
        <f t="shared" si="7"/>
        <v>513.47419466574297</v>
      </c>
      <c r="M78" s="23">
        <f t="shared" si="7"/>
        <v>4756.2769043535973</v>
      </c>
      <c r="N78" s="23">
        <f t="shared" si="7"/>
        <v>2032.379758256842</v>
      </c>
      <c r="O78" s="23">
        <f>100*$B78*('Table 1.1.1'!$E$7/'Table 1.1.1'!$E79)/$B$6</f>
        <v>1878.3920997803998</v>
      </c>
      <c r="P78" s="23">
        <f>100*$F78*('Table 1.1.1'!$E$7/'Table 1.1.1'!$E79)/$F$6</f>
        <v>802.64588425641352</v>
      </c>
      <c r="Q78" s="23">
        <f>100*$B78*('Table 1.1.1'!$H$7/'Table 1.1.1'!$H79)/$B$6</f>
        <v>1877.2053244689948</v>
      </c>
      <c r="R78" s="23">
        <f>100*$F78*('Table 1.1.1'!$H$7/'Table 1.1.1'!$H79)/$F$6</f>
        <v>802.13876951751126</v>
      </c>
    </row>
    <row r="79" spans="1:18" ht="12.75" customHeight="1">
      <c r="A79" s="24">
        <v>2002</v>
      </c>
      <c r="B79" s="23">
        <v>1637956</v>
      </c>
      <c r="C79" s="22">
        <v>288</v>
      </c>
      <c r="D79" s="22">
        <v>287.95499999999998</v>
      </c>
      <c r="E79" s="23">
        <v>5695</v>
      </c>
      <c r="F79" s="20">
        <f t="shared" si="9"/>
        <v>5688.236009098644</v>
      </c>
      <c r="G79" s="22">
        <v>12909.7</v>
      </c>
      <c r="H79" s="23">
        <v>44832</v>
      </c>
      <c r="I79" s="20">
        <f>$B79*100/'Table 1.1.1'!$B80</f>
        <v>1925783.619817998</v>
      </c>
      <c r="J79" s="20">
        <f>$F79*100/'Table 1.1.1'!$B80</f>
        <v>6687.7936476810546</v>
      </c>
      <c r="K79" s="23">
        <f t="shared" si="7"/>
        <v>1222.9727169382343</v>
      </c>
      <c r="L79" s="23">
        <f t="shared" si="7"/>
        <v>517.63075857291301</v>
      </c>
      <c r="M79" s="23">
        <f t="shared" si="7"/>
        <v>5137.8528623069196</v>
      </c>
      <c r="N79" s="23">
        <f t="shared" si="7"/>
        <v>2174.6148917443447</v>
      </c>
      <c r="O79" s="23">
        <f>100*$B79*('Table 1.1.1'!$E$7/'Table 1.1.1'!$E80)/$B$6</f>
        <v>2004.5954046008883</v>
      </c>
      <c r="P79" s="23">
        <f>100*$F79*('Table 1.1.1'!$E$7/'Table 1.1.1'!$E80)/$F$6</f>
        <v>848.4522884546094</v>
      </c>
      <c r="Q79" s="23">
        <f>100*$B79*('Table 1.1.1'!$H$7/'Table 1.1.1'!$H80)/$B$6</f>
        <v>1966.7059770363187</v>
      </c>
      <c r="R79" s="23">
        <f>100*$F79*('Table 1.1.1'!$H$7/'Table 1.1.1'!$H80)/$F$6</f>
        <v>832.41545057120902</v>
      </c>
    </row>
    <row r="80" spans="1:18" ht="12.75" customHeight="1">
      <c r="A80" s="24">
        <v>2003</v>
      </c>
      <c r="B80" s="23">
        <v>1775439</v>
      </c>
      <c r="C80" s="22">
        <v>290</v>
      </c>
      <c r="D80" s="22">
        <v>290.62599999999998</v>
      </c>
      <c r="E80" s="23">
        <v>6121</v>
      </c>
      <c r="F80" s="20">
        <f t="shared" si="9"/>
        <v>6109.0163990833589</v>
      </c>
      <c r="G80" s="22">
        <v>13270</v>
      </c>
      <c r="H80" s="23">
        <v>45660</v>
      </c>
      <c r="I80" s="20">
        <f>$B80*100/'Table 1.1.1'!$B81</f>
        <v>2046521.1978698387</v>
      </c>
      <c r="J80" s="20">
        <f>$F80*100/'Table 1.1.1'!$B81</f>
        <v>7041.769139271225</v>
      </c>
      <c r="K80" s="23">
        <f t="shared" si="7"/>
        <v>1257.1049640015158</v>
      </c>
      <c r="L80" s="23">
        <f t="shared" si="7"/>
        <v>527.19085555940421</v>
      </c>
      <c r="M80" s="23">
        <f t="shared" si="7"/>
        <v>5459.9720789197809</v>
      </c>
      <c r="N80" s="23">
        <f t="shared" si="7"/>
        <v>2289.7141929303821</v>
      </c>
      <c r="O80" s="23">
        <f>100*$B80*('Table 1.1.1'!$E$7/'Table 1.1.1'!$E81)/$B$6</f>
        <v>2098.1438926036885</v>
      </c>
      <c r="P80" s="23">
        <f>100*$F80*('Table 1.1.1'!$E$7/'Table 1.1.1'!$E81)/$F$6</f>
        <v>879.88542436930084</v>
      </c>
      <c r="Q80" s="23">
        <f>100*$B80*('Table 1.1.1'!$H$7/'Table 1.1.1'!$H81)/$B$6</f>
        <v>2049.2668429810124</v>
      </c>
      <c r="R80" s="23">
        <f>100*$F80*('Table 1.1.1'!$H$7/'Table 1.1.1'!$H81)/$F$6</f>
        <v>859.38816309910271</v>
      </c>
    </row>
    <row r="81" spans="1:18" ht="12.75" customHeight="1">
      <c r="A81" s="24">
        <v>2004</v>
      </c>
      <c r="B81" s="23">
        <v>1901599</v>
      </c>
      <c r="C81" s="22">
        <v>293</v>
      </c>
      <c r="D81" s="22">
        <v>293.262</v>
      </c>
      <c r="E81" s="23">
        <v>6497</v>
      </c>
      <c r="F81" s="20">
        <f t="shared" si="9"/>
        <v>6484.3007276769576</v>
      </c>
      <c r="G81" s="22">
        <v>13774</v>
      </c>
      <c r="H81" s="23">
        <v>46968</v>
      </c>
      <c r="I81" s="20">
        <f>$B81*100/'Table 1.1.1'!$B82</f>
        <v>2133463.8513665125</v>
      </c>
      <c r="J81" s="20">
        <f>$F81*100/'Table 1.1.1'!$B82</f>
        <v>7274.9413540332962</v>
      </c>
      <c r="K81" s="23">
        <f t="shared" si="7"/>
        <v>1304.8503220917016</v>
      </c>
      <c r="L81" s="23">
        <f t="shared" si="7"/>
        <v>542.29303775545554</v>
      </c>
      <c r="M81" s="23">
        <f t="shared" si="7"/>
        <v>5691.9288556456422</v>
      </c>
      <c r="N81" s="23">
        <f t="shared" si="7"/>
        <v>2365.5328855029961</v>
      </c>
      <c r="O81" s="23">
        <f>100*$B81*('Table 1.1.1'!$E$7/'Table 1.1.1'!$E82)/$B$6</f>
        <v>2171.0529512013209</v>
      </c>
      <c r="P81" s="23">
        <f>100*$F81*('Table 1.1.1'!$E$7/'Table 1.1.1'!$E82)/$F$6</f>
        <v>902.27711597995847</v>
      </c>
      <c r="Q81" s="23">
        <f>100*$B81*('Table 1.1.1'!$H$7/'Table 1.1.1'!$H82)/$B$6</f>
        <v>2102.8707665314832</v>
      </c>
      <c r="R81" s="23">
        <f>100*$F81*('Table 1.1.1'!$H$7/'Table 1.1.1'!$H82)/$F$6</f>
        <v>873.94099229809558</v>
      </c>
    </row>
    <row r="82" spans="1:18" ht="12.75" customHeight="1">
      <c r="A82" s="24">
        <v>2005</v>
      </c>
      <c r="B82" s="23">
        <v>2030497</v>
      </c>
      <c r="C82" s="22">
        <v>295</v>
      </c>
      <c r="D82" s="22">
        <v>295.99299999999999</v>
      </c>
      <c r="E82" s="23">
        <v>6875</v>
      </c>
      <c r="F82" s="20">
        <f t="shared" si="9"/>
        <v>6859.9493906950502</v>
      </c>
      <c r="G82" s="22">
        <v>14235.6</v>
      </c>
      <c r="H82" s="23">
        <v>48094</v>
      </c>
      <c r="I82" s="20">
        <f>$B82*100/'Table 1.1.1'!$B83</f>
        <v>2207277.8858801406</v>
      </c>
      <c r="J82" s="20">
        <f>$F82*100/'Table 1.1.1'!$B83</f>
        <v>7457.1962373439246</v>
      </c>
      <c r="K82" s="23">
        <f t="shared" si="7"/>
        <v>1348.5790071996969</v>
      </c>
      <c r="L82" s="23">
        <f t="shared" si="7"/>
        <v>555.29384597621527</v>
      </c>
      <c r="M82" s="23">
        <f t="shared" si="7"/>
        <v>5888.8594165879504</v>
      </c>
      <c r="N82" s="23">
        <f t="shared" si="7"/>
        <v>2424.795207910005</v>
      </c>
      <c r="O82" s="23">
        <f>100*$B82*('Table 1.1.1'!$E$7/'Table 1.1.1'!$E83)/$B$6</f>
        <v>2248.4739055739278</v>
      </c>
      <c r="P82" s="23">
        <f>100*$F82*('Table 1.1.1'!$E$7/'Table 1.1.1'!$E83)/$F$6</f>
        <v>925.83102527268932</v>
      </c>
      <c r="Q82" s="23">
        <f>100*$B82*('Table 1.1.1'!$H$7/'Table 1.1.1'!$H83)/$B$6</f>
        <v>2154.4003432000068</v>
      </c>
      <c r="R82" s="23">
        <f>100*$F82*('Table 1.1.1'!$H$7/'Table 1.1.1'!$H83)/$F$6</f>
        <v>887.0953199181414</v>
      </c>
    </row>
    <row r="83" spans="1:18" ht="12.75" customHeight="1">
      <c r="A83" s="24">
        <v>2006</v>
      </c>
      <c r="B83" s="23">
        <v>2163293</v>
      </c>
      <c r="C83" s="22">
        <v>298.2</v>
      </c>
      <c r="D83" s="22">
        <v>298.81799999999998</v>
      </c>
      <c r="E83" s="23">
        <v>7255</v>
      </c>
      <c r="F83" s="20">
        <f t="shared" si="9"/>
        <v>7239.5002978401571</v>
      </c>
      <c r="G83" s="22">
        <v>14615.2</v>
      </c>
      <c r="H83" s="23">
        <v>48910</v>
      </c>
      <c r="I83" s="20">
        <f>$B83*100/'Table 1.1.1'!$B84</f>
        <v>2281521.4410765888</v>
      </c>
      <c r="J83" s="20">
        <f>$F83*100/'Table 1.1.1'!$B84</f>
        <v>7635.1539769243791</v>
      </c>
      <c r="K83" s="23">
        <f t="shared" si="7"/>
        <v>1384.5395983327019</v>
      </c>
      <c r="L83" s="23">
        <f t="shared" si="7"/>
        <v>564.71539083246739</v>
      </c>
      <c r="M83" s="23">
        <f t="shared" si="7"/>
        <v>6086.9359079696578</v>
      </c>
      <c r="N83" s="23">
        <f t="shared" si="7"/>
        <v>2482.6602634095875</v>
      </c>
      <c r="O83" s="23">
        <f>100*$B83*('Table 1.1.1'!$E$7/'Table 1.1.1'!$E84)/$B$6</f>
        <v>2322.1454384260805</v>
      </c>
      <c r="P83" s="23">
        <f>100*$F83*('Table 1.1.1'!$E$7/'Table 1.1.1'!$E84)/$F$6</f>
        <v>947.12648416258014</v>
      </c>
      <c r="Q83" s="23">
        <f>100*$B83*('Table 1.1.1'!$H$7/'Table 1.1.1'!$H84)/$B$6</f>
        <v>2206.5463036541523</v>
      </c>
      <c r="R83" s="23">
        <f>100*$F83*('Table 1.1.1'!$H$7/'Table 1.1.1'!$H84)/$F$6</f>
        <v>899.97741232710484</v>
      </c>
    </row>
    <row r="84" spans="1:18" ht="12.75" customHeight="1">
      <c r="A84" s="24">
        <v>2007</v>
      </c>
      <c r="B84" s="23">
        <v>2298269</v>
      </c>
      <c r="C84" s="22">
        <v>301.2</v>
      </c>
      <c r="D84" s="22">
        <v>301.69600000000003</v>
      </c>
      <c r="E84" s="23">
        <v>7636</v>
      </c>
      <c r="F84" s="20">
        <f t="shared" si="9"/>
        <v>7617.8305313958417</v>
      </c>
      <c r="G84" s="22">
        <v>14876.8</v>
      </c>
      <c r="H84" s="23">
        <v>49311</v>
      </c>
      <c r="I84" s="20">
        <f>$B84*100/'Table 1.1.1'!$B85</f>
        <v>2361194.8425540659</v>
      </c>
      <c r="J84" s="20">
        <f>$F84*100/'Table 1.1.1'!$B85</f>
        <v>7826.4042034169024</v>
      </c>
      <c r="K84" s="23">
        <f t="shared" si="7"/>
        <v>1409.3217127699888</v>
      </c>
      <c r="L84" s="23">
        <f t="shared" si="7"/>
        <v>569.34534118462068</v>
      </c>
      <c r="M84" s="23">
        <f t="shared" si="7"/>
        <v>6299.498840595219</v>
      </c>
      <c r="N84" s="23">
        <f t="shared" si="7"/>
        <v>2544.8475276240461</v>
      </c>
      <c r="O84" s="23">
        <f>100*$B84*('Table 1.1.1'!$E$7/'Table 1.1.1'!$E85)/$B$6</f>
        <v>2388.8889401152096</v>
      </c>
      <c r="P84" s="23">
        <f>100*$F84*('Table 1.1.1'!$E$7/'Table 1.1.1'!$E85)/$F$6</f>
        <v>965.05424746553319</v>
      </c>
      <c r="Q84" s="23">
        <f>100*$B84*('Table 1.1.1'!$H$7/'Table 1.1.1'!$H85)/$B$6</f>
        <v>2245.0310029817761</v>
      </c>
      <c r="R84" s="23">
        <f>100*$F84*('Table 1.1.1'!$H$7/'Table 1.1.1'!$H85)/$F$6</f>
        <v>906.93906641590502</v>
      </c>
    </row>
    <row r="85" spans="1:18" ht="12.75" customHeight="1">
      <c r="A85" s="24">
        <v>2008</v>
      </c>
      <c r="B85" s="23">
        <v>2406644</v>
      </c>
      <c r="C85" s="22">
        <v>303.89999999999998</v>
      </c>
      <c r="D85" s="22">
        <v>304.54300000000001</v>
      </c>
      <c r="E85" s="23">
        <v>7922</v>
      </c>
      <c r="F85" s="20">
        <f t="shared" si="9"/>
        <v>7902.4768259326265</v>
      </c>
      <c r="G85" s="22">
        <v>14833.6</v>
      </c>
      <c r="H85" s="23">
        <v>48708</v>
      </c>
      <c r="I85" s="20">
        <f>$B85*100/'Table 1.1.1'!$B86</f>
        <v>2425172.3164980449</v>
      </c>
      <c r="J85" s="20">
        <f>$F85*100/'Table 1.1.1'!$B86</f>
        <v>7963.3165644852934</v>
      </c>
      <c r="K85" s="23">
        <f t="shared" si="7"/>
        <v>1405.2292535051156</v>
      </c>
      <c r="L85" s="23">
        <f t="shared" si="7"/>
        <v>562.38309664011081</v>
      </c>
      <c r="M85" s="23">
        <f t="shared" si="7"/>
        <v>6470.1861619762703</v>
      </c>
      <c r="N85" s="23">
        <f t="shared" si="7"/>
        <v>2589.3661947552364</v>
      </c>
      <c r="O85" s="23">
        <f>100*$B85*('Table 1.1.1'!$E$7/'Table 1.1.1'!$E86)/$B$6</f>
        <v>2438.5109670855786</v>
      </c>
      <c r="P85" s="23">
        <f>100*$F85*('Table 1.1.1'!$E$7/'Table 1.1.1'!$E86)/$F$6</f>
        <v>975.8912194549082</v>
      </c>
      <c r="Q85" s="23">
        <f>100*$B85*('Table 1.1.1'!$H$7/'Table 1.1.1'!$H86)/$B$6</f>
        <v>2266.8789659487024</v>
      </c>
      <c r="R85" s="23">
        <f>100*$F85*('Table 1.1.1'!$H$7/'Table 1.1.1'!$H86)/$F$6</f>
        <v>907.20415380388295</v>
      </c>
    </row>
    <row r="86" spans="1:18" ht="12.75" customHeight="1">
      <c r="A86" s="24">
        <v>2009</v>
      </c>
      <c r="B86" s="23">
        <v>2501171</v>
      </c>
      <c r="C86" s="22">
        <v>306.3</v>
      </c>
      <c r="D86" s="22">
        <v>307.24</v>
      </c>
      <c r="E86" s="23">
        <v>8163</v>
      </c>
      <c r="F86" s="20">
        <f t="shared" si="9"/>
        <v>8140.7726858481965</v>
      </c>
      <c r="G86" s="22">
        <v>14417.9</v>
      </c>
      <c r="H86" s="23">
        <v>46927</v>
      </c>
      <c r="I86" s="20">
        <f>$B86*100/'Table 1.1.1'!$B87</f>
        <v>2501171</v>
      </c>
      <c r="J86" s="20">
        <f>$F86*100/'Table 1.1.1'!$B87</f>
        <v>8140.7726858481965</v>
      </c>
      <c r="K86" s="23">
        <f t="shared" si="7"/>
        <v>1365.8488063660479</v>
      </c>
      <c r="L86" s="23">
        <f t="shared" si="7"/>
        <v>541.81965131047218</v>
      </c>
      <c r="M86" s="23">
        <f t="shared" si="7"/>
        <v>6672.9452100561275</v>
      </c>
      <c r="N86" s="23">
        <f t="shared" si="7"/>
        <v>2647.0681431819448</v>
      </c>
      <c r="O86" s="23">
        <f>100*$B86*('Table 1.1.1'!$E$7/'Table 1.1.1'!$E87)/$B$6</f>
        <v>2466.3960034341735</v>
      </c>
      <c r="P86" s="23">
        <f>100*$F86*('Table 1.1.1'!$E$7/'Table 1.1.1'!$E87)/$F$6</f>
        <v>978.38631723262006</v>
      </c>
      <c r="Q86" s="23">
        <f>100*$B86*('Table 1.1.1'!$H$7/'Table 1.1.1'!$H87)/$B$6</f>
        <v>2283.4850849848381</v>
      </c>
      <c r="R86" s="23">
        <f>100*$F86*('Table 1.1.1'!$H$7/'Table 1.1.1'!$H87)/$F$6</f>
        <v>905.8280015225298</v>
      </c>
    </row>
    <row r="87" spans="1:18" ht="18" customHeight="1">
      <c r="A87" s="24">
        <v>2010</v>
      </c>
      <c r="B87" s="23">
        <v>2599951</v>
      </c>
      <c r="C87" s="22">
        <v>308.7</v>
      </c>
      <c r="D87" s="22">
        <v>309.77600000000001</v>
      </c>
      <c r="E87" s="23">
        <v>8417</v>
      </c>
      <c r="F87" s="20">
        <f t="shared" si="9"/>
        <v>8393.0033314394914</v>
      </c>
      <c r="G87" s="22">
        <v>14779.4</v>
      </c>
      <c r="H87" s="23">
        <v>47710</v>
      </c>
      <c r="I87" s="20">
        <f>$B87*100/'Table 1.1.1'!$B88</f>
        <v>2568842.3195107253</v>
      </c>
      <c r="J87" s="20">
        <f>$F87*100/'Table 1.1.1'!$B88</f>
        <v>8292.5801853943667</v>
      </c>
      <c r="K87" s="23">
        <f t="shared" si="7"/>
        <v>1400.0947328533537</v>
      </c>
      <c r="L87" s="23">
        <f t="shared" si="7"/>
        <v>550.86017780856719</v>
      </c>
      <c r="M87" s="23">
        <f t="shared" si="7"/>
        <v>6853.4874470272389</v>
      </c>
      <c r="N87" s="23">
        <f t="shared" si="7"/>
        <v>2696.4301400650338</v>
      </c>
      <c r="O87" s="23">
        <f>100*$B87*('Table 1.1.1'!$E$7/'Table 1.1.1'!$E88)/$B$6</f>
        <v>2498.5894328662316</v>
      </c>
      <c r="P87" s="23">
        <f>100*$F87*('Table 1.1.1'!$E$7/'Table 1.1.1'!$E88)/$F$6</f>
        <v>983.04285321932798</v>
      </c>
      <c r="Q87" s="23">
        <f>100*$B87*('Table 1.1.1'!$H$7/'Table 1.1.1'!$H88)/$B$6</f>
        <v>2295.3086819641185</v>
      </c>
      <c r="R87" s="23">
        <f>100*$F87*('Table 1.1.1'!$H$7/'Table 1.1.1'!$H88)/$F$6</f>
        <v>903.06425139592091</v>
      </c>
    </row>
    <row r="88" spans="1:18" ht="12.75" customHeight="1">
      <c r="A88" s="24">
        <v>2011</v>
      </c>
      <c r="B88" s="23">
        <v>2700739</v>
      </c>
      <c r="C88" s="22">
        <v>311.2</v>
      </c>
      <c r="D88" s="22">
        <v>312.036</v>
      </c>
      <c r="E88" s="23">
        <v>8680</v>
      </c>
      <c r="F88" s="20">
        <f t="shared" si="9"/>
        <v>8655.2160648130339</v>
      </c>
      <c r="G88" s="22">
        <v>15052.4</v>
      </c>
      <c r="H88" s="23">
        <v>48239</v>
      </c>
      <c r="I88" s="20">
        <f>$B88*100/'Table 1.1.1'!$B89</f>
        <v>2617020.5137646683</v>
      </c>
      <c r="J88" s="20">
        <f>$F88*100/'Table 1.1.1'!$B89</f>
        <v>8386.9185406961642</v>
      </c>
      <c r="K88" s="23">
        <f t="shared" si="7"/>
        <v>1425.9568018188709</v>
      </c>
      <c r="L88" s="23">
        <f t="shared" si="7"/>
        <v>556.96801754993646</v>
      </c>
      <c r="M88" s="23">
        <f t="shared" si="7"/>
        <v>6982.0234210074268</v>
      </c>
      <c r="N88" s="23">
        <f t="shared" si="7"/>
        <v>2727.1053676676515</v>
      </c>
      <c r="O88" s="23">
        <f>100*$B88*('Table 1.1.1'!$E$7/'Table 1.1.1'!$E89)/$B$6</f>
        <v>2543.0310933335404</v>
      </c>
      <c r="P88" s="23">
        <f>100*$F88*('Table 1.1.1'!$E$7/'Table 1.1.1'!$E89)/$F$6</f>
        <v>993.28136366734998</v>
      </c>
      <c r="Q88" s="23">
        <f>100*$B88*('Table 1.1.1'!$H$7/'Table 1.1.1'!$H89)/$B$6</f>
        <v>2313.864933672814</v>
      </c>
      <c r="R88" s="23">
        <f>100*$F88*('Table 1.1.1'!$H$7/'Table 1.1.1'!$H89)/$F$6</f>
        <v>903.77145709525564</v>
      </c>
    </row>
    <row r="89" spans="1:18" ht="12.75" customHeight="1">
      <c r="A89" s="24">
        <v>2012</v>
      </c>
      <c r="B89" s="20">
        <f>F200</f>
        <v>2815272.707347353</v>
      </c>
      <c r="C89" s="22">
        <v>313.8</v>
      </c>
      <c r="D89" s="22">
        <v>314.27800000000002</v>
      </c>
      <c r="E89" s="23">
        <v>8952.7999999999993</v>
      </c>
      <c r="F89" s="20">
        <f t="shared" si="9"/>
        <v>8957.9057628830305</v>
      </c>
      <c r="G89" s="22">
        <v>15470.7</v>
      </c>
      <c r="H89" s="23">
        <v>49226</v>
      </c>
      <c r="I89" s="20">
        <f>$B89*100/'Table 1.1.1'!$B90</f>
        <v>2681161.0325016221</v>
      </c>
      <c r="J89" s="20">
        <f>$F89*100/'Table 1.1.1'!$B90</f>
        <v>8531.1763231967307</v>
      </c>
      <c r="K89" s="23">
        <f t="shared" si="7"/>
        <v>1465.583554376658</v>
      </c>
      <c r="L89" s="23">
        <f t="shared" si="7"/>
        <v>568.36393026209441</v>
      </c>
      <c r="M89" s="23">
        <f t="shared" si="7"/>
        <v>7153.1457342264239</v>
      </c>
      <c r="N89" s="23">
        <f t="shared" si="7"/>
        <v>2774.0124851120609</v>
      </c>
      <c r="O89" s="23">
        <f>100*$B89*('Table 1.1.1'!$E$7/'Table 1.1.1'!$E90)/$B$6</f>
        <v>2598.6675921496426</v>
      </c>
      <c r="P89" s="23">
        <f>100*$F89*('Table 1.1.1'!$E$7/'Table 1.1.1'!$E90)/$F$6</f>
        <v>1007.7714914693811</v>
      </c>
      <c r="Q89" s="23">
        <f>100*$B89*('Table 1.1.1'!$H$7/'Table 1.1.1'!$H90)/$B$6</f>
        <v>2326.7371474768001</v>
      </c>
      <c r="R89" s="23">
        <f>100*$F89*('Table 1.1.1'!$H$7/'Table 1.1.1'!$H90)/$F$6</f>
        <v>902.31600703891911</v>
      </c>
    </row>
    <row r="90" spans="1:18" ht="12.75" customHeight="1">
      <c r="A90" s="24">
        <v>2013</v>
      </c>
      <c r="B90" s="20">
        <f t="shared" ref="B90:B98" si="10">F201</f>
        <v>2921970.7210300323</v>
      </c>
      <c r="C90" s="22">
        <v>316.39999999999998</v>
      </c>
      <c r="D90" s="22">
        <v>316.43860100000001</v>
      </c>
      <c r="E90" s="23">
        <v>9214.2000000000007</v>
      </c>
      <c r="F90" s="20">
        <f t="shared" si="9"/>
        <v>9233.926302910284</v>
      </c>
      <c r="G90" s="21">
        <f t="shared" ref="G90:H96" si="11">F225</f>
        <v>15691.014880796451</v>
      </c>
      <c r="H90" s="20">
        <f t="shared" si="11"/>
        <v>49586.285716123646</v>
      </c>
      <c r="I90" s="20">
        <f>$B90*100/'Table 1.1.1'!$B91</f>
        <v>2742467.344895632</v>
      </c>
      <c r="J90" s="20">
        <f>$F90*100/'Table 1.1.1'!$B91</f>
        <v>8666.6649903929774</v>
      </c>
      <c r="K90" s="23">
        <f t="shared" si="7"/>
        <v>1486.4546116707513</v>
      </c>
      <c r="L90" s="23">
        <f t="shared" si="7"/>
        <v>572.52379305072907</v>
      </c>
      <c r="M90" s="23">
        <f t="shared" si="7"/>
        <v>7316.7065877769473</v>
      </c>
      <c r="N90" s="23">
        <f t="shared" si="7"/>
        <v>2818.0682214085468</v>
      </c>
      <c r="O90" s="23">
        <f>100*$B90*('Table 1.1.1'!$E$7/'Table 1.1.1'!$E91)/$B$6</f>
        <v>2652.7988267235282</v>
      </c>
      <c r="P90" s="23">
        <f>100*$F90*('Table 1.1.1'!$E$7/'Table 1.1.1'!$E91)/$F$6</f>
        <v>1021.7394919003899</v>
      </c>
      <c r="Q90" s="23">
        <f>100*$B90*('Table 1.1.1'!$H$7/'Table 1.1.1'!$H91)/$B$6</f>
        <v>2344.0219196818125</v>
      </c>
      <c r="R90" s="23">
        <f>100*$F90*('Table 1.1.1'!$H$7/'Table 1.1.1'!$H91)/$F$6</f>
        <v>902.81243383129481</v>
      </c>
    </row>
    <row r="91" spans="1:18" ht="12.75" customHeight="1">
      <c r="A91" s="24">
        <v>2014</v>
      </c>
      <c r="B91" s="20">
        <f t="shared" si="10"/>
        <v>3137119.6421868363</v>
      </c>
      <c r="C91" s="22">
        <v>319.2</v>
      </c>
      <c r="D91" s="22">
        <v>318.89210300000002</v>
      </c>
      <c r="E91" s="23">
        <v>9807.5</v>
      </c>
      <c r="F91" s="20">
        <f t="shared" si="9"/>
        <v>9837.5582608479835</v>
      </c>
      <c r="G91" s="21">
        <f t="shared" si="11"/>
        <v>16100.004915943424</v>
      </c>
      <c r="H91" s="20">
        <f t="shared" si="11"/>
        <v>50487.311427537679</v>
      </c>
      <c r="I91" s="20">
        <f>$B91*100/'Table 1.1.1'!$B92</f>
        <v>2895384.6595272939</v>
      </c>
      <c r="J91" s="20">
        <f>$F91*100/'Table 1.1.1'!$B92</f>
        <v>9079.5119486771782</v>
      </c>
      <c r="K91" s="23">
        <f t="shared" si="7"/>
        <v>1525.1994046933899</v>
      </c>
      <c r="L91" s="23">
        <f t="shared" si="7"/>
        <v>582.92704569377293</v>
      </c>
      <c r="M91" s="23">
        <f t="shared" si="7"/>
        <v>7724.6790383634898</v>
      </c>
      <c r="N91" s="23">
        <f t="shared" si="7"/>
        <v>2952.3102735399671</v>
      </c>
      <c r="O91" s="23">
        <f>100*$B91*('Table 1.1.1'!$E$7/'Table 1.1.1'!$E92)/$B$6</f>
        <v>2789.9902995311481</v>
      </c>
      <c r="P91" s="23">
        <f>100*$F91*('Table 1.1.1'!$E$7/'Table 1.1.1'!$E92)/$F$6</f>
        <v>1066.3118795583885</v>
      </c>
      <c r="Q91" s="23">
        <f>100*$B91*('Table 1.1.1'!$H$7/'Table 1.1.1'!$H92)/$B$6</f>
        <v>2437.889713647241</v>
      </c>
      <c r="R91" s="23">
        <f>100*$F91*('Table 1.1.1'!$H$7/'Table 1.1.1'!$H92)/$F$6</f>
        <v>931.74186417497572</v>
      </c>
    </row>
    <row r="92" spans="1:18" ht="12.75" customHeight="1">
      <c r="A92" s="24">
        <v>2015</v>
      </c>
      <c r="B92" s="20">
        <f t="shared" si="10"/>
        <v>3314967.7050646273</v>
      </c>
      <c r="C92" s="22">
        <v>322</v>
      </c>
      <c r="D92" s="22">
        <v>321.363</v>
      </c>
      <c r="E92" s="23">
        <v>10272</v>
      </c>
      <c r="F92" s="20">
        <f t="shared" si="9"/>
        <v>10315.337188987616</v>
      </c>
      <c r="G92" s="21">
        <f t="shared" si="11"/>
        <v>16766.449893698747</v>
      </c>
      <c r="H92" s="20">
        <f t="shared" si="11"/>
        <v>52172.931836268479</v>
      </c>
      <c r="I92" s="20">
        <f>$B92*100/'Table 1.1.1'!$B93</f>
        <v>3004218.4680413464</v>
      </c>
      <c r="J92" s="20">
        <f>$F92*100/'Table 1.1.1'!$B93</f>
        <v>9348.3645224912216</v>
      </c>
      <c r="K92" s="23">
        <f t="shared" si="7"/>
        <v>1588.3336390392903</v>
      </c>
      <c r="L92" s="23">
        <f t="shared" si="7"/>
        <v>602.38923722743891</v>
      </c>
      <c r="M92" s="23">
        <f t="shared" si="7"/>
        <v>8015.0398498457962</v>
      </c>
      <c r="N92" s="23">
        <f t="shared" si="7"/>
        <v>3039.7308551995907</v>
      </c>
      <c r="O92" s="23">
        <f>100*$B92*('Table 1.1.1'!$E$7/'Table 1.1.1'!$E93)/$B$6</f>
        <v>2881.93802797331</v>
      </c>
      <c r="P92" s="23">
        <f>100*$F92*('Table 1.1.1'!$E$7/'Table 1.1.1'!$E93)/$F$6</f>
        <v>1092.9847025741331</v>
      </c>
      <c r="Q92" s="23">
        <f>100*$B92*('Table 1.1.1'!$H$7/'Table 1.1.1'!$H93)/$B$6</f>
        <v>2493.3062619348025</v>
      </c>
      <c r="R92" s="23">
        <f>100*$F92*('Table 1.1.1'!$H$7/'Table 1.1.1'!$H93)/$F$6</f>
        <v>945.59479651387949</v>
      </c>
    </row>
    <row r="93" spans="1:18" ht="12.75" customHeight="1">
      <c r="A93" s="24">
        <v>2016</v>
      </c>
      <c r="B93" s="20">
        <f t="shared" si="10"/>
        <v>3522261.1765145445</v>
      </c>
      <c r="C93" s="22">
        <v>324.89999999999998</v>
      </c>
      <c r="D93" s="22">
        <v>323.84899999999999</v>
      </c>
      <c r="E93" s="23">
        <v>10817.6</v>
      </c>
      <c r="F93" s="20">
        <f t="shared" si="9"/>
        <v>10876.245338150016</v>
      </c>
      <c r="G93" s="21">
        <f t="shared" si="11"/>
        <v>17502.62740653073</v>
      </c>
      <c r="H93" s="20">
        <f t="shared" si="11"/>
        <v>54045.642896938793</v>
      </c>
      <c r="I93" s="20">
        <f>$B93*100/'Table 1.1.1'!$B94</f>
        <v>3131134.4950974351</v>
      </c>
      <c r="J93" s="20">
        <f>$F93*100/'Table 1.1.1'!$B94</f>
        <v>9668.5013543269706</v>
      </c>
      <c r="K93" s="23">
        <f t="shared" si="7"/>
        <v>1658.0738354045786</v>
      </c>
      <c r="L93" s="23">
        <f t="shared" si="7"/>
        <v>624.01157945893999</v>
      </c>
      <c r="M93" s="23">
        <f t="shared" si="7"/>
        <v>8353.6427261878289</v>
      </c>
      <c r="N93" s="23">
        <f t="shared" si="7"/>
        <v>3143.8271175218092</v>
      </c>
      <c r="O93" s="23">
        <f>100*$B93*('Table 1.1.1'!$E$7/'Table 1.1.1'!$E94)/$B$6</f>
        <v>2993.2373328578983</v>
      </c>
      <c r="P93" s="23">
        <f>100*$F93*('Table 1.1.1'!$E$7/'Table 1.1.1'!$E94)/$F$6</f>
        <v>1126.4811058674102</v>
      </c>
      <c r="Q93" s="23">
        <f>100*$B93*('Table 1.1.1'!$H$7/'Table 1.1.1'!$H94)/$B$6</f>
        <v>2562.9595363020881</v>
      </c>
      <c r="R93" s="23">
        <f>100*$F93*('Table 1.1.1'!$H$7/'Table 1.1.1'!$H94)/$F$6</f>
        <v>964.54947325891351</v>
      </c>
    </row>
    <row r="94" spans="1:18" ht="12.75" customHeight="1">
      <c r="A94" s="24">
        <v>2017</v>
      </c>
      <c r="B94" s="20">
        <f t="shared" si="10"/>
        <v>3731576.138403195</v>
      </c>
      <c r="C94" s="22">
        <v>327.7</v>
      </c>
      <c r="D94" s="22">
        <v>326.34800000000001</v>
      </c>
      <c r="E94" s="23">
        <v>11360.2</v>
      </c>
      <c r="F94" s="20">
        <f t="shared" si="9"/>
        <v>11434.346582185872</v>
      </c>
      <c r="G94" s="21">
        <f t="shared" si="11"/>
        <v>18162.13866266132</v>
      </c>
      <c r="H94" s="20">
        <f t="shared" si="11"/>
        <v>55652.673412005955</v>
      </c>
      <c r="I94" s="20">
        <f>$B94*100/'Table 1.1.1'!$B95</f>
        <v>3251260.1444273987</v>
      </c>
      <c r="J94" s="20">
        <f>$F94*100/'Table 1.1.1'!$B95</f>
        <v>9962.5557516129993</v>
      </c>
      <c r="K94" s="23">
        <f t="shared" si="7"/>
        <v>1720.5512185166087</v>
      </c>
      <c r="L94" s="23">
        <f t="shared" si="7"/>
        <v>642.56637122740972</v>
      </c>
      <c r="M94" s="23">
        <f t="shared" si="7"/>
        <v>8674.1293607686966</v>
      </c>
      <c r="N94" s="23">
        <f t="shared" si="7"/>
        <v>3239.4423689796399</v>
      </c>
      <c r="O94" s="23">
        <f>100*$B94*('Table 1.1.1'!$E$7/'Table 1.1.1'!$E95)/$B$6</f>
        <v>3097.9931886683553</v>
      </c>
      <c r="P94" s="23">
        <f>100*$F94*('Table 1.1.1'!$E$7/'Table 1.1.1'!$E95)/$F$6</f>
        <v>1156.9772569420429</v>
      </c>
      <c r="Q94" s="23">
        <f>100*$B94*('Table 1.1.1'!$H$7/'Table 1.1.1'!$H95)/$B$6</f>
        <v>2623.7190104086822</v>
      </c>
      <c r="R94" s="23">
        <f>100*$F94*('Table 1.1.1'!$H$7/'Table 1.1.1'!$H95)/$F$6</f>
        <v>979.85471199636402</v>
      </c>
    </row>
    <row r="95" spans="1:18" ht="12.75" customHeight="1">
      <c r="A95" s="24">
        <v>2018</v>
      </c>
      <c r="B95" s="20">
        <f t="shared" si="10"/>
        <v>3961084.9579269635</v>
      </c>
      <c r="C95" s="22">
        <v>330.6</v>
      </c>
      <c r="D95" s="22">
        <v>328.85700000000003</v>
      </c>
      <c r="E95" s="23">
        <v>11955</v>
      </c>
      <c r="F95" s="20">
        <f t="shared" si="9"/>
        <v>12045.007276496966</v>
      </c>
      <c r="G95" s="21">
        <f t="shared" si="11"/>
        <v>18629.607444341436</v>
      </c>
      <c r="H95" s="20">
        <f t="shared" si="11"/>
        <v>56649.569400503664</v>
      </c>
      <c r="I95" s="20">
        <f>$B95*100/'Table 1.1.1'!$B96</f>
        <v>3378224.858057342</v>
      </c>
      <c r="J95" s="20">
        <f>$F95*100/'Table 1.1.1'!$B96</f>
        <v>10272.625664216792</v>
      </c>
      <c r="K95" s="23">
        <f t="shared" si="7"/>
        <v>1764.8358700588706</v>
      </c>
      <c r="L95" s="23">
        <f t="shared" si="7"/>
        <v>654.07654313016587</v>
      </c>
      <c r="M95" s="23">
        <f t="shared" si="7"/>
        <v>9012.862129405099</v>
      </c>
      <c r="N95" s="23">
        <f t="shared" si="7"/>
        <v>3340.2652539177657</v>
      </c>
      <c r="O95" s="23">
        <f>100*$B95*('Table 1.1.1'!$E$7/'Table 1.1.1'!$E96)/$B$6</f>
        <v>3210.8308022354627</v>
      </c>
      <c r="P95" s="23">
        <f>100*$F95*('Table 1.1.1'!$E$7/'Table 1.1.1'!$E96)/$F$6</f>
        <v>1189.9690032897388</v>
      </c>
      <c r="Q95" s="23">
        <f>100*$B95*('Table 1.1.1'!$H$7/'Table 1.1.1'!$H96)/$B$6</f>
        <v>2684.6015982525191</v>
      </c>
      <c r="R95" s="23">
        <f>100*$F95*('Table 1.1.1'!$H$7/'Table 1.1.1'!$H96)/$F$6</f>
        <v>994.94270637943077</v>
      </c>
    </row>
    <row r="96" spans="1:18" ht="12.75" customHeight="1">
      <c r="A96" s="24">
        <v>2019</v>
      </c>
      <c r="B96" s="20">
        <f t="shared" si="10"/>
        <v>4216637.6299747368</v>
      </c>
      <c r="C96" s="22">
        <v>333.4</v>
      </c>
      <c r="D96" s="22">
        <v>331.375</v>
      </c>
      <c r="E96" s="23">
        <v>12618.3</v>
      </c>
      <c r="F96" s="20">
        <f t="shared" si="9"/>
        <v>12724.670328101809</v>
      </c>
      <c r="G96" s="21">
        <f t="shared" si="11"/>
        <v>19075.225617636468</v>
      </c>
      <c r="H96" s="20">
        <f t="shared" si="11"/>
        <v>57563.864557182853</v>
      </c>
      <c r="I96" s="20">
        <f>$B96*100/'Table 1.1.1'!$B97</f>
        <v>3517666.2509828624</v>
      </c>
      <c r="J96" s="20">
        <f>$F96*100/'Table 1.1.1'!$B97</f>
        <v>10615.364016545796</v>
      </c>
      <c r="K96" s="23">
        <f t="shared" si="7"/>
        <v>1807.0505511213025</v>
      </c>
      <c r="L96" s="23">
        <f t="shared" si="7"/>
        <v>664.6330049322579</v>
      </c>
      <c r="M96" s="23">
        <f t="shared" si="7"/>
        <v>9384.8817854005938</v>
      </c>
      <c r="N96" s="23">
        <f t="shared" si="7"/>
        <v>3451.7106668911474</v>
      </c>
      <c r="O96" s="23">
        <f>100*$B96*('Table 1.1.1'!$E$7/'Table 1.1.1'!$E97)/$B$6</f>
        <v>3336.6996637002876</v>
      </c>
      <c r="P96" s="23">
        <f>100*$F96*('Table 1.1.1'!$E$7/'Table 1.1.1'!$E97)/$F$6</f>
        <v>1227.2207668425913</v>
      </c>
      <c r="Q96" s="23">
        <f>100*$B96*('Table 1.1.1'!$H$7/'Table 1.1.1'!$H97)/$B$6</f>
        <v>2752.2144304565963</v>
      </c>
      <c r="R96" s="23">
        <f>100*$F96*('Table 1.1.1'!$H$7/'Table 1.1.1'!$H97)/$F$6</f>
        <v>1012.250140641838</v>
      </c>
    </row>
    <row r="97" spans="1:18" ht="12.75" customHeight="1">
      <c r="A97" s="24">
        <v>2020</v>
      </c>
      <c r="B97" s="20">
        <f t="shared" si="10"/>
        <v>4497214.8904036339</v>
      </c>
      <c r="C97" s="22">
        <v>336.2</v>
      </c>
      <c r="D97" s="22">
        <v>333.89600000000002</v>
      </c>
      <c r="E97" s="23">
        <v>13345.6</v>
      </c>
      <c r="F97" s="20">
        <f t="shared" si="9"/>
        <v>13468.909152561379</v>
      </c>
      <c r="G97" s="21">
        <f>F232</f>
        <v>19510.78449093696</v>
      </c>
      <c r="H97" s="20">
        <f>G232</f>
        <v>58433.717357910726</v>
      </c>
      <c r="I97" s="20">
        <f>$B97*100/'Table 1.1.1'!$B98</f>
        <v>3670797.530823587</v>
      </c>
      <c r="J97" s="20">
        <f>$F97*100/'Table 1.1.1'!$B98</f>
        <v>10993.834998992465</v>
      </c>
      <c r="K97" s="23">
        <f t="shared" si="7"/>
        <v>1848.3122859925124</v>
      </c>
      <c r="L97" s="23">
        <f t="shared" si="7"/>
        <v>674.67633481019197</v>
      </c>
      <c r="M97" s="23">
        <f t="shared" si="7"/>
        <v>9793.4250798506437</v>
      </c>
      <c r="N97" s="23">
        <f t="shared" si="7"/>
        <v>3574.7749655043403</v>
      </c>
      <c r="O97" s="23">
        <f>100*$B97*('Table 1.1.1'!$E$7/'Table 1.1.1'!$E98)/$B$6</f>
        <v>3473.6813305895057</v>
      </c>
      <c r="P97" s="23">
        <f>100*$F97*('Table 1.1.1'!$E$7/'Table 1.1.1'!$E98)/$F$6</f>
        <v>1267.9556904233286</v>
      </c>
      <c r="Q97" s="23">
        <f>100*$B97*('Table 1.1.1'!$H$7/'Table 1.1.1'!$H98)/$B$6</f>
        <v>2826.6144202963014</v>
      </c>
      <c r="R97" s="23">
        <f>100*$F97*('Table 1.1.1'!$H$7/'Table 1.1.1'!$H98)/$F$6</f>
        <v>1031.7647181064544</v>
      </c>
    </row>
    <row r="98" spans="1:18" ht="12.75" customHeight="1">
      <c r="A98" s="24">
        <v>2021</v>
      </c>
      <c r="B98" s="20">
        <f t="shared" si="10"/>
        <v>4791617.8625838077</v>
      </c>
      <c r="C98" s="22">
        <v>339</v>
      </c>
      <c r="D98" s="22">
        <v>336.416</v>
      </c>
      <c r="E98" s="23">
        <v>14102.6</v>
      </c>
      <c r="F98" s="20">
        <f t="shared" si="9"/>
        <v>14243.133092908209</v>
      </c>
      <c r="G98" s="21">
        <f>F233</f>
        <v>19942.043205461156</v>
      </c>
      <c r="H98" s="20">
        <f>G233</f>
        <v>59277.927344303353</v>
      </c>
      <c r="I98" s="20">
        <f>$B98*100/'Table 1.1.1'!$B99</f>
        <v>3825023.1219619969</v>
      </c>
      <c r="J98" s="20">
        <f>$F98*100/'Table 1.1.1'!$B99</f>
        <v>11369.920342558014</v>
      </c>
      <c r="K98" s="23">
        <f t="shared" ref="K98:N99" si="12">100*G98/G$6</f>
        <v>1889.1666545529706</v>
      </c>
      <c r="L98" s="23">
        <f t="shared" si="12"/>
        <v>684.42359247550348</v>
      </c>
      <c r="M98" s="23">
        <f t="shared" si="12"/>
        <v>10204.887918519062</v>
      </c>
      <c r="N98" s="23">
        <f t="shared" si="12"/>
        <v>3697.0635455307311</v>
      </c>
      <c r="O98" s="23">
        <f>100*$B98*('Table 1.1.1'!$E$7/'Table 1.1.1'!$E99)/$B$6</f>
        <v>3612.3176272008122</v>
      </c>
      <c r="P98" s="23">
        <f>100*$F98*('Table 1.1.1'!$E$7/'Table 1.1.1'!$E99)/$F$6</f>
        <v>1308.683438861352</v>
      </c>
      <c r="Q98" s="23">
        <f>100*$B98*('Table 1.1.1'!$H$7/'Table 1.1.1'!$H99)/$B$6</f>
        <v>2899.6542636239651</v>
      </c>
      <c r="R98" s="23">
        <f>100*$F98*('Table 1.1.1'!$H$7/'Table 1.1.1'!$H99)/$F$6</f>
        <v>1050.4971890218114</v>
      </c>
    </row>
    <row r="99" spans="1:18">
      <c r="A99" s="26" t="s">
        <v>23</v>
      </c>
      <c r="B99" s="27" t="s">
        <v>24</v>
      </c>
      <c r="C99" s="27" t="s">
        <v>25</v>
      </c>
      <c r="D99" s="27" t="s">
        <v>26</v>
      </c>
      <c r="E99" s="27" t="s">
        <v>27</v>
      </c>
      <c r="F99" s="27" t="s">
        <v>28</v>
      </c>
      <c r="G99" s="27" t="s">
        <v>29</v>
      </c>
      <c r="H99" s="27" t="s">
        <v>30</v>
      </c>
      <c r="I99" s="28" t="s">
        <v>31</v>
      </c>
      <c r="J99" s="29"/>
      <c r="K99" s="28" t="s">
        <v>32</v>
      </c>
      <c r="L99" s="29"/>
      <c r="M99" s="28" t="s">
        <v>33</v>
      </c>
      <c r="N99" s="29"/>
      <c r="O99" s="28" t="s">
        <v>34</v>
      </c>
      <c r="P99" s="30"/>
      <c r="Q99" s="28" t="s">
        <v>35</v>
      </c>
      <c r="R99" s="30"/>
    </row>
    <row r="100" spans="1:18" ht="15.75" customHeight="1">
      <c r="A100" s="31" t="s">
        <v>36</v>
      </c>
      <c r="B100" s="32">
        <v>41496</v>
      </c>
      <c r="C100" s="32"/>
      <c r="D100" s="32"/>
      <c r="E100" s="32"/>
      <c r="F100" s="32"/>
      <c r="G100" s="31"/>
      <c r="H100" s="31"/>
      <c r="I100" s="31"/>
      <c r="J100" s="31"/>
      <c r="K100" s="31"/>
      <c r="L100" s="31"/>
      <c r="M100" s="31"/>
      <c r="N100" s="31"/>
      <c r="O100" s="31"/>
      <c r="P100" s="31"/>
      <c r="Q100" s="31"/>
      <c r="R100" s="31"/>
    </row>
    <row r="101" spans="1:18" ht="15.75" customHeight="1">
      <c r="A101" s="33" t="s">
        <v>37</v>
      </c>
      <c r="B101" s="34" t="s">
        <v>38</v>
      </c>
      <c r="C101" s="34"/>
      <c r="D101" s="34"/>
      <c r="E101" s="34"/>
      <c r="F101" s="34"/>
      <c r="G101" s="34"/>
      <c r="H101" s="34"/>
      <c r="I101" s="34"/>
      <c r="J101" s="34"/>
      <c r="K101" s="34"/>
      <c r="L101" s="34"/>
      <c r="M101" s="34"/>
      <c r="N101" s="34"/>
      <c r="O101" s="34"/>
      <c r="P101" s="34"/>
      <c r="Q101" s="34"/>
      <c r="R101" s="34"/>
    </row>
    <row r="102" spans="1:18" s="38" customFormat="1" ht="18" customHeight="1">
      <c r="A102" s="35" t="s">
        <v>39</v>
      </c>
      <c r="B102" s="36"/>
      <c r="C102" s="36"/>
      <c r="D102" s="36"/>
      <c r="E102" s="36"/>
      <c r="F102" s="36"/>
      <c r="G102" s="36"/>
      <c r="H102" s="36"/>
      <c r="I102" s="36"/>
      <c r="J102" s="36"/>
      <c r="K102" s="36"/>
      <c r="L102" s="36"/>
      <c r="M102" s="36"/>
      <c r="N102" s="36"/>
      <c r="O102" s="36"/>
      <c r="P102" s="36"/>
      <c r="Q102" s="37"/>
      <c r="R102" s="37"/>
    </row>
    <row r="103" spans="1:18" s="41" customFormat="1" ht="36" customHeight="1">
      <c r="A103" s="39" t="str">
        <f>B99</f>
        <v>[A]</v>
      </c>
      <c r="B103" s="40" t="s">
        <v>40</v>
      </c>
      <c r="C103" s="40"/>
      <c r="D103" s="40"/>
      <c r="E103" s="40"/>
      <c r="F103" s="40"/>
      <c r="G103" s="40"/>
      <c r="H103" s="40"/>
      <c r="I103" s="40"/>
      <c r="J103" s="40"/>
      <c r="K103" s="40"/>
      <c r="L103" s="40"/>
      <c r="M103" s="40"/>
      <c r="N103" s="40"/>
      <c r="O103" s="40"/>
      <c r="P103" s="40"/>
      <c r="Q103" s="40"/>
      <c r="R103" s="40"/>
    </row>
    <row r="104" spans="1:18" s="41" customFormat="1" ht="120" customHeight="1">
      <c r="A104" s="39" t="str">
        <f>C99</f>
        <v>[B]</v>
      </c>
      <c r="B104" s="40" t="s">
        <v>41</v>
      </c>
      <c r="C104" s="40"/>
      <c r="D104" s="40"/>
      <c r="E104" s="40"/>
      <c r="F104" s="40"/>
      <c r="G104" s="40"/>
      <c r="H104" s="40"/>
      <c r="I104" s="40"/>
      <c r="J104" s="40"/>
      <c r="K104" s="40"/>
      <c r="L104" s="40"/>
      <c r="M104" s="40"/>
      <c r="N104" s="40"/>
      <c r="O104" s="40"/>
      <c r="P104" s="40"/>
      <c r="Q104" s="40"/>
      <c r="R104" s="40"/>
    </row>
    <row r="105" spans="1:18" s="41" customFormat="1" ht="60" customHeight="1">
      <c r="A105" s="39" t="str">
        <f>D99</f>
        <v>[C]</v>
      </c>
      <c r="B105" s="42" t="s">
        <v>42</v>
      </c>
      <c r="C105" s="42"/>
      <c r="D105" s="42"/>
      <c r="E105" s="42"/>
      <c r="F105" s="42"/>
      <c r="G105" s="42"/>
      <c r="H105" s="42"/>
      <c r="I105" s="42"/>
      <c r="J105" s="42"/>
      <c r="K105" s="42"/>
      <c r="L105" s="42"/>
      <c r="M105" s="42"/>
      <c r="N105" s="42"/>
      <c r="O105" s="42"/>
      <c r="P105" s="42"/>
      <c r="Q105" s="42"/>
      <c r="R105" s="42"/>
    </row>
    <row r="106" spans="1:18" s="41" customFormat="1" ht="24.75" customHeight="1">
      <c r="A106" s="39" t="str">
        <f>E99</f>
        <v>[D]</v>
      </c>
      <c r="B106" s="42" t="s">
        <v>43</v>
      </c>
      <c r="C106" s="42"/>
      <c r="D106" s="42"/>
      <c r="E106" s="42"/>
      <c r="F106" s="42"/>
      <c r="G106" s="42"/>
      <c r="H106" s="42"/>
      <c r="I106" s="42"/>
      <c r="J106" s="42"/>
      <c r="K106" s="42"/>
      <c r="L106" s="42"/>
      <c r="M106" s="42"/>
      <c r="N106" s="42"/>
      <c r="O106" s="42"/>
      <c r="P106" s="42"/>
      <c r="Q106" s="42"/>
      <c r="R106" s="42"/>
    </row>
    <row r="107" spans="1:18" s="41" customFormat="1" ht="18" customHeight="1">
      <c r="A107" s="39" t="str">
        <f>F99</f>
        <v>[E]</v>
      </c>
      <c r="B107" s="40" t="s">
        <v>44</v>
      </c>
      <c r="C107" s="40"/>
      <c r="D107" s="40"/>
      <c r="E107" s="40"/>
      <c r="F107" s="40"/>
      <c r="G107" s="40"/>
      <c r="H107" s="40"/>
      <c r="I107" s="40"/>
      <c r="J107" s="40"/>
      <c r="K107" s="40"/>
      <c r="L107" s="40"/>
      <c r="M107" s="40"/>
      <c r="N107" s="40"/>
      <c r="O107" s="40"/>
      <c r="P107" s="40"/>
      <c r="Q107" s="40"/>
      <c r="R107" s="40"/>
    </row>
    <row r="108" spans="1:18" s="41" customFormat="1" ht="18" customHeight="1">
      <c r="A108" s="39" t="str">
        <f>G99</f>
        <v>[F]</v>
      </c>
      <c r="B108" s="40" t="s">
        <v>45</v>
      </c>
      <c r="C108" s="40"/>
      <c r="D108" s="40"/>
      <c r="E108" s="40"/>
      <c r="F108" s="40"/>
      <c r="G108" s="40"/>
      <c r="H108" s="40"/>
      <c r="I108" s="40"/>
      <c r="J108" s="40"/>
      <c r="K108" s="40"/>
      <c r="L108" s="40"/>
      <c r="M108" s="40"/>
      <c r="N108" s="40"/>
      <c r="O108" s="40"/>
      <c r="P108" s="40"/>
    </row>
    <row r="109" spans="1:18" s="41" customFormat="1" ht="18" customHeight="1">
      <c r="A109" s="39" t="str">
        <f>H99</f>
        <v>[G]</v>
      </c>
      <c r="B109" s="40" t="s">
        <v>46</v>
      </c>
      <c r="C109" s="40"/>
      <c r="D109" s="40"/>
      <c r="E109" s="40"/>
      <c r="F109" s="40"/>
      <c r="G109" s="40"/>
      <c r="H109" s="40"/>
      <c r="I109" s="40"/>
      <c r="J109" s="40"/>
      <c r="K109" s="40"/>
      <c r="L109" s="40"/>
      <c r="M109" s="40"/>
      <c r="N109" s="40"/>
      <c r="O109" s="40"/>
      <c r="P109" s="40"/>
    </row>
    <row r="110" spans="1:18" s="41" customFormat="1" ht="18" customHeight="1">
      <c r="A110" s="39" t="str">
        <f>I99</f>
        <v>[H]</v>
      </c>
      <c r="B110" s="40" t="s">
        <v>47</v>
      </c>
      <c r="C110" s="40"/>
      <c r="D110" s="40"/>
      <c r="E110" s="40"/>
      <c r="F110" s="40"/>
      <c r="G110" s="40"/>
      <c r="H110" s="40"/>
      <c r="I110" s="40"/>
      <c r="J110" s="40"/>
      <c r="K110" s="40"/>
      <c r="L110" s="40"/>
      <c r="M110" s="40"/>
      <c r="N110" s="40"/>
      <c r="O110" s="40"/>
      <c r="P110" s="40"/>
    </row>
    <row r="111" spans="1:18" s="41" customFormat="1" ht="18" customHeight="1">
      <c r="A111" s="39" t="str">
        <f>K99</f>
        <v>[I]</v>
      </c>
      <c r="B111" s="40" t="s">
        <v>48</v>
      </c>
      <c r="C111" s="40"/>
      <c r="D111" s="40"/>
      <c r="E111" s="40"/>
      <c r="F111" s="40"/>
      <c r="G111" s="40"/>
      <c r="H111" s="40"/>
      <c r="I111" s="40"/>
      <c r="J111" s="40"/>
      <c r="K111" s="40"/>
      <c r="L111" s="40"/>
      <c r="M111" s="40"/>
      <c r="N111" s="40"/>
      <c r="O111" s="40"/>
      <c r="P111" s="40"/>
    </row>
    <row r="112" spans="1:18" s="41" customFormat="1" ht="18" customHeight="1">
      <c r="A112" s="39" t="str">
        <f>M99</f>
        <v>[J]</v>
      </c>
      <c r="B112" s="40" t="s">
        <v>49</v>
      </c>
      <c r="C112" s="40"/>
      <c r="D112" s="40"/>
      <c r="E112" s="40"/>
      <c r="F112" s="40"/>
      <c r="G112" s="40"/>
      <c r="H112" s="40"/>
      <c r="I112" s="40"/>
      <c r="J112" s="40"/>
      <c r="K112" s="40"/>
      <c r="L112" s="40"/>
      <c r="M112" s="40"/>
      <c r="N112" s="40"/>
      <c r="O112" s="40"/>
      <c r="P112" s="40"/>
      <c r="Q112" s="40"/>
      <c r="R112" s="40"/>
    </row>
    <row r="113" spans="1:18" s="41" customFormat="1" ht="18" customHeight="1">
      <c r="A113" s="39" t="str">
        <f>O99</f>
        <v>[K]</v>
      </c>
      <c r="B113" s="40" t="s">
        <v>50</v>
      </c>
      <c r="C113" s="40"/>
      <c r="D113" s="40"/>
      <c r="E113" s="40"/>
      <c r="F113" s="40"/>
      <c r="G113" s="40"/>
      <c r="H113" s="40"/>
      <c r="I113" s="40"/>
      <c r="J113" s="40"/>
      <c r="K113" s="40"/>
      <c r="L113" s="40"/>
      <c r="M113" s="40"/>
      <c r="N113" s="40"/>
      <c r="O113" s="40"/>
      <c r="P113" s="40"/>
      <c r="Q113" s="40"/>
      <c r="R113" s="40"/>
    </row>
    <row r="114" spans="1:18" s="41" customFormat="1" ht="24.75" customHeight="1">
      <c r="A114" s="39" t="str">
        <f>Q99</f>
        <v>[L]</v>
      </c>
      <c r="B114" s="40" t="s">
        <v>51</v>
      </c>
      <c r="C114" s="40"/>
      <c r="D114" s="40"/>
      <c r="E114" s="40"/>
      <c r="F114" s="40"/>
      <c r="G114" s="40"/>
      <c r="H114" s="40"/>
      <c r="I114" s="40"/>
      <c r="J114" s="40"/>
      <c r="K114" s="40"/>
      <c r="L114" s="40"/>
      <c r="M114" s="40"/>
      <c r="N114" s="40"/>
      <c r="O114" s="40"/>
      <c r="P114" s="40"/>
      <c r="Q114" s="40"/>
      <c r="R114" s="40"/>
    </row>
    <row r="115" spans="1:18" s="38" customFormat="1" ht="19.5" customHeight="1">
      <c r="A115" s="43" t="s">
        <v>52</v>
      </c>
      <c r="B115" s="43"/>
      <c r="C115" s="43"/>
      <c r="D115" s="43"/>
      <c r="E115" s="43"/>
      <c r="F115" s="43"/>
      <c r="G115" s="43"/>
      <c r="H115" s="43"/>
      <c r="I115" s="43"/>
      <c r="J115" s="43"/>
      <c r="K115" s="43"/>
      <c r="L115" s="43"/>
      <c r="M115" s="43"/>
      <c r="N115" s="43"/>
      <c r="O115" s="43"/>
      <c r="P115" s="43"/>
      <c r="Q115" s="37"/>
      <c r="R115" s="37"/>
    </row>
    <row r="116" spans="1:18" s="38" customFormat="1" ht="19.5" customHeight="1">
      <c r="A116" s="44" t="s">
        <v>53</v>
      </c>
      <c r="B116" s="43" t="s">
        <v>54</v>
      </c>
      <c r="C116" s="43"/>
      <c r="D116" s="43"/>
      <c r="E116" s="43"/>
      <c r="F116" s="43"/>
      <c r="G116" s="43"/>
      <c r="H116" s="43"/>
      <c r="I116" s="43"/>
      <c r="J116" s="43"/>
      <c r="K116" s="45"/>
      <c r="L116" s="45"/>
      <c r="M116" s="45"/>
      <c r="N116" s="45"/>
      <c r="O116" s="45"/>
      <c r="P116" s="45"/>
      <c r="Q116" s="45"/>
      <c r="R116" s="45"/>
    </row>
    <row r="117" spans="1:18" s="49" customFormat="1" ht="12.75" customHeight="1">
      <c r="A117" s="12"/>
      <c r="B117" s="13" t="s">
        <v>55</v>
      </c>
      <c r="C117" s="9" t="s">
        <v>56</v>
      </c>
      <c r="D117" s="46"/>
      <c r="E117" s="47" t="s">
        <v>57</v>
      </c>
      <c r="F117" s="47" t="s">
        <v>58</v>
      </c>
      <c r="G117" s="9" t="s">
        <v>59</v>
      </c>
      <c r="H117" s="46"/>
      <c r="I117" s="47" t="s">
        <v>60</v>
      </c>
      <c r="J117" s="11" t="s">
        <v>61</v>
      </c>
      <c r="K117" s="48"/>
    </row>
    <row r="118" spans="1:18" s="49" customFormat="1" ht="26.25" customHeight="1">
      <c r="A118" s="12"/>
      <c r="B118" s="50"/>
      <c r="C118" s="27" t="s">
        <v>62</v>
      </c>
      <c r="D118" s="27" t="s">
        <v>63</v>
      </c>
      <c r="E118" s="18"/>
      <c r="F118" s="18" t="s">
        <v>64</v>
      </c>
      <c r="G118" s="27" t="s">
        <v>62</v>
      </c>
      <c r="H118" s="27" t="s">
        <v>63</v>
      </c>
      <c r="I118" s="18"/>
      <c r="J118" s="9" t="s">
        <v>64</v>
      </c>
      <c r="K118" s="48"/>
    </row>
    <row r="119" spans="1:18" s="57" customFormat="1" ht="12.75" customHeight="1">
      <c r="A119" s="12"/>
      <c r="B119" s="51">
        <v>1929</v>
      </c>
      <c r="C119" s="23">
        <v>3649</v>
      </c>
      <c r="D119" s="52" t="s">
        <v>65</v>
      </c>
      <c r="E119" s="53">
        <f t="shared" ref="E119:E131" si="13">E120</f>
        <v>1.0174344581944366</v>
      </c>
      <c r="F119" s="23">
        <f t="shared" ref="F119:F131" si="14">C119*E119</f>
        <v>3712.6183379514991</v>
      </c>
      <c r="G119" s="54">
        <v>29.49</v>
      </c>
      <c r="H119" s="55" t="s">
        <v>65</v>
      </c>
      <c r="I119" s="56">
        <f t="shared" ref="I119:I131" si="15">I120</f>
        <v>1.0117996645078902</v>
      </c>
      <c r="J119" s="54">
        <f t="shared" ref="J119:J133" si="16">G119*I$134</f>
        <v>29.631100478468895</v>
      </c>
    </row>
    <row r="120" spans="1:18" s="57" customFormat="1" ht="12.75" customHeight="1">
      <c r="A120" s="12"/>
      <c r="B120" s="58">
        <v>1935</v>
      </c>
      <c r="C120" s="23">
        <v>2936</v>
      </c>
      <c r="D120" s="59" t="s">
        <v>65</v>
      </c>
      <c r="E120" s="53">
        <f t="shared" si="13"/>
        <v>1.0174344581944366</v>
      </c>
      <c r="F120" s="23">
        <f t="shared" si="14"/>
        <v>2987.1875692588656</v>
      </c>
      <c r="G120" s="54">
        <v>22.65</v>
      </c>
      <c r="H120" s="55" t="s">
        <v>65</v>
      </c>
      <c r="I120" s="56">
        <f t="shared" si="15"/>
        <v>1.0117996645078902</v>
      </c>
      <c r="J120" s="54">
        <f t="shared" si="16"/>
        <v>22.758373205741623</v>
      </c>
    </row>
    <row r="121" spans="1:18" s="57" customFormat="1" ht="12.75" customHeight="1">
      <c r="A121" s="12"/>
      <c r="B121" s="58">
        <v>1940</v>
      </c>
      <c r="C121" s="23">
        <v>3987</v>
      </c>
      <c r="D121" s="59" t="s">
        <v>65</v>
      </c>
      <c r="E121" s="53">
        <f t="shared" si="13"/>
        <v>1.0174344581944366</v>
      </c>
      <c r="F121" s="23">
        <f t="shared" si="14"/>
        <v>4056.5111848212186</v>
      </c>
      <c r="G121" s="54">
        <v>29.62</v>
      </c>
      <c r="H121" s="55" t="s">
        <v>65</v>
      </c>
      <c r="I121" s="56">
        <f t="shared" si="15"/>
        <v>1.0117996645078902</v>
      </c>
      <c r="J121" s="54">
        <f t="shared" si="16"/>
        <v>29.761722488038277</v>
      </c>
    </row>
    <row r="122" spans="1:18" s="57" customFormat="1" ht="12.75" customHeight="1">
      <c r="A122" s="12"/>
      <c r="B122" s="58">
        <v>1948</v>
      </c>
      <c r="C122" s="23">
        <v>10612</v>
      </c>
      <c r="D122" s="59" t="s">
        <v>65</v>
      </c>
      <c r="E122" s="53">
        <f t="shared" si="13"/>
        <v>1.0174344581944366</v>
      </c>
      <c r="F122" s="23">
        <f t="shared" si="14"/>
        <v>10797.014470359361</v>
      </c>
      <c r="G122" s="54">
        <v>70.97</v>
      </c>
      <c r="H122" s="55" t="s">
        <v>65</v>
      </c>
      <c r="I122" s="56">
        <f t="shared" si="15"/>
        <v>1.0117996645078902</v>
      </c>
      <c r="J122" s="54">
        <f t="shared" si="16"/>
        <v>71.309569377990428</v>
      </c>
    </row>
    <row r="123" spans="1:18" s="57" customFormat="1" ht="12.75" customHeight="1">
      <c r="A123" s="12"/>
      <c r="B123" s="58">
        <v>1949</v>
      </c>
      <c r="C123" s="23">
        <v>11576</v>
      </c>
      <c r="D123" s="59" t="s">
        <v>65</v>
      </c>
      <c r="E123" s="53">
        <f t="shared" si="13"/>
        <v>1.0174344581944366</v>
      </c>
      <c r="F123" s="23">
        <f t="shared" si="14"/>
        <v>11777.821288058798</v>
      </c>
      <c r="G123" s="54">
        <v>76.11</v>
      </c>
      <c r="H123" s="55" t="s">
        <v>65</v>
      </c>
      <c r="I123" s="56">
        <f t="shared" si="15"/>
        <v>1.0117996645078902</v>
      </c>
      <c r="J123" s="54">
        <f t="shared" si="16"/>
        <v>76.474162679425831</v>
      </c>
    </row>
    <row r="124" spans="1:18" s="57" customFormat="1" ht="12.75" customHeight="1">
      <c r="A124" s="12"/>
      <c r="B124" s="58">
        <v>1950</v>
      </c>
      <c r="C124" s="23">
        <v>12662</v>
      </c>
      <c r="D124" s="59" t="s">
        <v>65</v>
      </c>
      <c r="E124" s="53">
        <f t="shared" si="13"/>
        <v>1.0174344581944366</v>
      </c>
      <c r="F124" s="23">
        <f t="shared" si="14"/>
        <v>12882.755109657955</v>
      </c>
      <c r="G124" s="54">
        <v>81.86</v>
      </c>
      <c r="H124" s="55" t="s">
        <v>65</v>
      </c>
      <c r="I124" s="56">
        <f t="shared" si="15"/>
        <v>1.0117996645078902</v>
      </c>
      <c r="J124" s="54">
        <f t="shared" si="16"/>
        <v>82.251674641148313</v>
      </c>
    </row>
    <row r="125" spans="1:18" s="57" customFormat="1" ht="12.75" customHeight="1">
      <c r="A125" s="12"/>
      <c r="B125" s="58">
        <v>1951</v>
      </c>
      <c r="C125" s="23">
        <v>13992</v>
      </c>
      <c r="D125" s="59" t="s">
        <v>65</v>
      </c>
      <c r="E125" s="53">
        <f t="shared" si="13"/>
        <v>1.0174344581944366</v>
      </c>
      <c r="F125" s="23">
        <f t="shared" si="14"/>
        <v>14235.942939056556</v>
      </c>
      <c r="G125" s="54">
        <v>88.95</v>
      </c>
      <c r="H125" s="55" t="s">
        <v>65</v>
      </c>
      <c r="I125" s="56">
        <f t="shared" si="15"/>
        <v>1.0117996645078902</v>
      </c>
      <c r="J125" s="54">
        <f t="shared" si="16"/>
        <v>89.375598086124398</v>
      </c>
    </row>
    <row r="126" spans="1:18" s="57" customFormat="1" ht="12.75" customHeight="1">
      <c r="A126" s="12"/>
      <c r="B126" s="58">
        <v>1952</v>
      </c>
      <c r="C126" s="23">
        <v>14988</v>
      </c>
      <c r="D126" s="59" t="s">
        <v>65</v>
      </c>
      <c r="E126" s="53">
        <f t="shared" si="13"/>
        <v>1.0174344581944366</v>
      </c>
      <c r="F126" s="23">
        <f t="shared" si="14"/>
        <v>15249.307659418215</v>
      </c>
      <c r="G126" s="54">
        <v>93.69</v>
      </c>
      <c r="H126" s="55" t="s">
        <v>65</v>
      </c>
      <c r="I126" s="56">
        <f t="shared" si="15"/>
        <v>1.0117996645078902</v>
      </c>
      <c r="J126" s="54">
        <f t="shared" si="16"/>
        <v>94.138277511961718</v>
      </c>
    </row>
    <row r="127" spans="1:18" s="57" customFormat="1" ht="12.75" customHeight="1">
      <c r="A127" s="12"/>
      <c r="B127" s="58">
        <v>1953</v>
      </c>
      <c r="C127" s="23">
        <v>15745</v>
      </c>
      <c r="D127" s="59" t="s">
        <v>65</v>
      </c>
      <c r="E127" s="53">
        <f t="shared" si="13"/>
        <v>1.0174344581944366</v>
      </c>
      <c r="F127" s="23">
        <f t="shared" si="14"/>
        <v>16019.505544271404</v>
      </c>
      <c r="G127" s="54">
        <v>96.84</v>
      </c>
      <c r="H127" s="55" t="s">
        <v>65</v>
      </c>
      <c r="I127" s="56">
        <f t="shared" si="15"/>
        <v>1.0117996645078902</v>
      </c>
      <c r="J127" s="54">
        <f t="shared" si="16"/>
        <v>97.303349282296651</v>
      </c>
    </row>
    <row r="128" spans="1:18" s="57" customFormat="1" ht="12.75" customHeight="1">
      <c r="A128" s="12"/>
      <c r="B128" s="58">
        <v>1954</v>
      </c>
      <c r="C128" s="23">
        <v>16799</v>
      </c>
      <c r="D128" s="59" t="s">
        <v>65</v>
      </c>
      <c r="E128" s="53">
        <f t="shared" si="13"/>
        <v>1.0174344581944366</v>
      </c>
      <c r="F128" s="23">
        <f t="shared" si="14"/>
        <v>17091.881463208341</v>
      </c>
      <c r="G128" s="54">
        <v>101.54</v>
      </c>
      <c r="H128" s="55" t="s">
        <v>65</v>
      </c>
      <c r="I128" s="56">
        <f t="shared" si="15"/>
        <v>1.0117996645078902</v>
      </c>
      <c r="J128" s="54">
        <f t="shared" si="16"/>
        <v>102.02583732057415</v>
      </c>
    </row>
    <row r="129" spans="1:10" s="57" customFormat="1" ht="12.75" customHeight="1">
      <c r="A129" s="12"/>
      <c r="B129" s="58">
        <v>1955</v>
      </c>
      <c r="C129" s="23">
        <v>17745</v>
      </c>
      <c r="D129" s="59" t="s">
        <v>65</v>
      </c>
      <c r="E129" s="53">
        <f t="shared" si="13"/>
        <v>1.0174344581944366</v>
      </c>
      <c r="F129" s="23">
        <f t="shared" si="14"/>
        <v>18054.374460660278</v>
      </c>
      <c r="G129" s="54">
        <v>105.38</v>
      </c>
      <c r="H129" s="55" t="s">
        <v>65</v>
      </c>
      <c r="I129" s="56">
        <f t="shared" si="15"/>
        <v>1.0117996645078902</v>
      </c>
      <c r="J129" s="54">
        <f t="shared" si="16"/>
        <v>105.88421052631577</v>
      </c>
    </row>
    <row r="130" spans="1:10" s="57" customFormat="1" ht="12.75" customHeight="1">
      <c r="A130" s="12"/>
      <c r="B130" s="58">
        <v>1956</v>
      </c>
      <c r="C130" s="23">
        <v>19246</v>
      </c>
      <c r="D130" s="59" t="s">
        <v>65</v>
      </c>
      <c r="E130" s="53">
        <f t="shared" si="13"/>
        <v>1.0174344581944366</v>
      </c>
      <c r="F130" s="23">
        <f t="shared" si="14"/>
        <v>19581.543582410126</v>
      </c>
      <c r="G130" s="54">
        <v>112.32</v>
      </c>
      <c r="H130" s="55" t="s">
        <v>65</v>
      </c>
      <c r="I130" s="56">
        <f t="shared" si="15"/>
        <v>1.0117996645078902</v>
      </c>
      <c r="J130" s="54">
        <f t="shared" si="16"/>
        <v>112.85741626794257</v>
      </c>
    </row>
    <row r="131" spans="1:10" s="57" customFormat="1" ht="12.75" customHeight="1">
      <c r="A131" s="12"/>
      <c r="B131" s="58">
        <v>1957</v>
      </c>
      <c r="C131" s="23">
        <v>21108</v>
      </c>
      <c r="D131" s="59" t="s">
        <v>65</v>
      </c>
      <c r="E131" s="53">
        <f t="shared" si="13"/>
        <v>1.0174344581944366</v>
      </c>
      <c r="F131" s="23">
        <f t="shared" si="14"/>
        <v>21476.006543568168</v>
      </c>
      <c r="G131" s="54">
        <v>121</v>
      </c>
      <c r="H131" s="55" t="s">
        <v>65</v>
      </c>
      <c r="I131" s="56">
        <f t="shared" si="15"/>
        <v>1.0117996645078902</v>
      </c>
      <c r="J131" s="54">
        <f t="shared" si="16"/>
        <v>121.57894736842104</v>
      </c>
    </row>
    <row r="132" spans="1:10" s="57" customFormat="1" ht="12.75" customHeight="1">
      <c r="A132" s="12"/>
      <c r="B132" s="58">
        <v>1958</v>
      </c>
      <c r="C132" s="23">
        <v>22848</v>
      </c>
      <c r="D132" s="59" t="s">
        <v>65</v>
      </c>
      <c r="E132" s="53">
        <f>E133</f>
        <v>1.0174344581944366</v>
      </c>
      <c r="F132" s="23">
        <f>C132*E132</f>
        <v>23246.342500826486</v>
      </c>
      <c r="G132" s="54">
        <v>128.81</v>
      </c>
      <c r="H132" s="55" t="s">
        <v>65</v>
      </c>
      <c r="I132" s="56">
        <f>I133</f>
        <v>1.0117996645078902</v>
      </c>
      <c r="J132" s="54">
        <f t="shared" si="16"/>
        <v>129.42631578947368</v>
      </c>
    </row>
    <row r="133" spans="1:10" s="57" customFormat="1" ht="12.75" customHeight="1">
      <c r="A133" s="12"/>
      <c r="B133" s="58">
        <v>1959</v>
      </c>
      <c r="C133" s="23">
        <v>24878</v>
      </c>
      <c r="D133" s="59" t="s">
        <v>65</v>
      </c>
      <c r="E133" s="53">
        <f>AVERAGE(E$134:E$136)</f>
        <v>1.0174344581944366</v>
      </c>
      <c r="F133" s="23">
        <f>C133*E133</f>
        <v>25311.734450961194</v>
      </c>
      <c r="G133" s="54">
        <v>137.94</v>
      </c>
      <c r="H133" s="55" t="s">
        <v>65</v>
      </c>
      <c r="I133" s="56">
        <f>AVERAGE(I$134:I$138)</f>
        <v>1.0117996645078902</v>
      </c>
      <c r="J133" s="54">
        <f t="shared" si="16"/>
        <v>138.6</v>
      </c>
    </row>
    <row r="134" spans="1:10" s="57" customFormat="1" ht="12.75" customHeight="1">
      <c r="A134" s="12"/>
      <c r="B134" s="58">
        <v>1960</v>
      </c>
      <c r="C134" s="23">
        <v>26895</v>
      </c>
      <c r="D134" s="60">
        <f t="shared" ref="D134:D147" si="17">B37</f>
        <v>27359</v>
      </c>
      <c r="E134" s="61">
        <f t="shared" ref="E134:E144" si="18">D134/C134</f>
        <v>1.0172522773749768</v>
      </c>
      <c r="F134" s="59" t="s">
        <v>66</v>
      </c>
      <c r="G134" s="54">
        <v>146.30000000000001</v>
      </c>
      <c r="H134" s="54">
        <f t="shared" ref="H134:H147" si="19">E37</f>
        <v>147</v>
      </c>
      <c r="I134" s="61">
        <f t="shared" ref="I134:I147" si="20">H134/G134</f>
        <v>1.0047846889952152</v>
      </c>
      <c r="J134" s="55" t="s">
        <v>66</v>
      </c>
    </row>
    <row r="135" spans="1:10" s="57" customFormat="1" ht="12.75" customHeight="1">
      <c r="A135" s="12"/>
      <c r="B135" s="58">
        <v>1961</v>
      </c>
      <c r="C135" s="23">
        <v>28783</v>
      </c>
      <c r="D135" s="60">
        <f t="shared" si="17"/>
        <v>29229</v>
      </c>
      <c r="E135" s="61">
        <f t="shared" si="18"/>
        <v>1.0154952576173435</v>
      </c>
      <c r="F135" s="59" t="s">
        <v>66</v>
      </c>
      <c r="G135" s="54">
        <v>154.02000000000001</v>
      </c>
      <c r="H135" s="54">
        <f t="shared" si="19"/>
        <v>154.65079365079364</v>
      </c>
      <c r="I135" s="61">
        <f t="shared" si="20"/>
        <v>1.0040955307803767</v>
      </c>
      <c r="J135" s="55" t="s">
        <v>66</v>
      </c>
    </row>
    <row r="136" spans="1:10" s="57" customFormat="1" ht="12.75" customHeight="1">
      <c r="A136" s="12"/>
      <c r="B136" s="58">
        <v>1962</v>
      </c>
      <c r="C136" s="23">
        <v>31295</v>
      </c>
      <c r="D136" s="60">
        <f t="shared" si="17"/>
        <v>31907</v>
      </c>
      <c r="E136" s="61">
        <f t="shared" si="18"/>
        <v>1.0195558395909889</v>
      </c>
      <c r="F136" s="59" t="s">
        <v>66</v>
      </c>
      <c r="G136" s="54">
        <v>164.89</v>
      </c>
      <c r="H136" s="54">
        <f t="shared" si="19"/>
        <v>166.18229166666666</v>
      </c>
      <c r="I136" s="61">
        <f t="shared" si="20"/>
        <v>1.0078372955707846</v>
      </c>
      <c r="J136" s="55" t="s">
        <v>66</v>
      </c>
    </row>
    <row r="137" spans="1:10" s="57" customFormat="1" ht="12.75" customHeight="1">
      <c r="A137" s="12"/>
      <c r="B137" s="58">
        <v>1963</v>
      </c>
      <c r="C137" s="23">
        <v>33530</v>
      </c>
      <c r="D137" s="60">
        <f t="shared" si="17"/>
        <v>34727</v>
      </c>
      <c r="E137" s="61">
        <f t="shared" si="18"/>
        <v>1.0356993736951983</v>
      </c>
      <c r="F137" s="59" t="s">
        <v>66</v>
      </c>
      <c r="G137" s="54">
        <v>174.15</v>
      </c>
      <c r="H137" s="54">
        <f t="shared" si="19"/>
        <v>178.0871794871795</v>
      </c>
      <c r="I137" s="61">
        <f t="shared" si="20"/>
        <v>1.0226079786803302</v>
      </c>
      <c r="J137" s="55" t="s">
        <v>66</v>
      </c>
    </row>
    <row r="138" spans="1:10" s="57" customFormat="1" ht="12.75" customHeight="1">
      <c r="A138" s="12"/>
      <c r="B138" s="58">
        <v>1964</v>
      </c>
      <c r="C138" s="23">
        <v>37461</v>
      </c>
      <c r="D138" s="60">
        <f t="shared" si="17"/>
        <v>38544</v>
      </c>
      <c r="E138" s="61">
        <f t="shared" si="18"/>
        <v>1.028910066469128</v>
      </c>
      <c r="F138" s="59" t="s">
        <v>66</v>
      </c>
      <c r="G138" s="54">
        <v>191.88</v>
      </c>
      <c r="H138" s="54">
        <f t="shared" si="19"/>
        <v>195.65482233502539</v>
      </c>
      <c r="I138" s="61">
        <f t="shared" si="20"/>
        <v>1.0196728285127443</v>
      </c>
      <c r="J138" s="55" t="s">
        <v>66</v>
      </c>
    </row>
    <row r="139" spans="1:10" s="57" customFormat="1" ht="12.75" customHeight="1">
      <c r="A139" s="12"/>
      <c r="B139" s="58">
        <v>1965</v>
      </c>
      <c r="C139" s="23">
        <v>40468</v>
      </c>
      <c r="D139" s="60">
        <f t="shared" si="17"/>
        <v>41957</v>
      </c>
      <c r="E139" s="61">
        <f t="shared" si="18"/>
        <v>1.0367945042996936</v>
      </c>
      <c r="F139" s="59" t="s">
        <v>66</v>
      </c>
      <c r="G139" s="54">
        <v>204.61</v>
      </c>
      <c r="H139" s="54">
        <f t="shared" si="19"/>
        <v>209.785</v>
      </c>
      <c r="I139" s="61">
        <f t="shared" si="20"/>
        <v>1.0252920189629049</v>
      </c>
      <c r="J139" s="55" t="s">
        <v>66</v>
      </c>
    </row>
    <row r="140" spans="1:10" s="57" customFormat="1" ht="12.75" customHeight="1">
      <c r="A140" s="12"/>
      <c r="B140" s="58">
        <v>1966</v>
      </c>
      <c r="C140" s="23">
        <v>44974</v>
      </c>
      <c r="D140" s="60">
        <f t="shared" si="17"/>
        <v>46254</v>
      </c>
      <c r="E140" s="61">
        <f t="shared" si="18"/>
        <v>1.0284608885133633</v>
      </c>
      <c r="F140" s="59" t="s">
        <v>66</v>
      </c>
      <c r="G140" s="54">
        <v>224.8</v>
      </c>
      <c r="H140" s="54">
        <f t="shared" si="19"/>
        <v>228.98019801980197</v>
      </c>
      <c r="I140" s="61">
        <f t="shared" si="20"/>
        <v>1.0185951869208272</v>
      </c>
      <c r="J140" s="55" t="s">
        <v>66</v>
      </c>
    </row>
    <row r="141" spans="1:10" s="57" customFormat="1" ht="12.75" customHeight="1">
      <c r="A141" s="12"/>
      <c r="B141" s="58">
        <v>1967</v>
      </c>
      <c r="C141" s="23">
        <v>50696</v>
      </c>
      <c r="D141" s="60">
        <f t="shared" si="17"/>
        <v>51780</v>
      </c>
      <c r="E141" s="61">
        <f t="shared" si="18"/>
        <v>1.0213823575824523</v>
      </c>
      <c r="F141" s="59" t="s">
        <v>66</v>
      </c>
      <c r="G141" s="54">
        <v>250.67</v>
      </c>
      <c r="H141" s="54">
        <f t="shared" si="19"/>
        <v>253.8235294117647</v>
      </c>
      <c r="I141" s="61">
        <f t="shared" si="20"/>
        <v>1.0125804021692453</v>
      </c>
      <c r="J141" s="55" t="s">
        <v>66</v>
      </c>
    </row>
    <row r="142" spans="1:10" s="57" customFormat="1" ht="12.75" customHeight="1">
      <c r="A142" s="12"/>
      <c r="B142" s="58">
        <v>1968</v>
      </c>
      <c r="C142" s="23">
        <v>57085</v>
      </c>
      <c r="D142" s="60">
        <f t="shared" si="17"/>
        <v>58755</v>
      </c>
      <c r="E142" s="61">
        <f t="shared" si="18"/>
        <v>1.0292546203030568</v>
      </c>
      <c r="F142" s="59" t="s">
        <v>66</v>
      </c>
      <c r="G142" s="54">
        <v>279.45</v>
      </c>
      <c r="H142" s="54">
        <f t="shared" si="19"/>
        <v>285.21844660194176</v>
      </c>
      <c r="I142" s="61">
        <f t="shared" si="20"/>
        <v>1.0206421420717187</v>
      </c>
      <c r="J142" s="55" t="s">
        <v>66</v>
      </c>
    </row>
    <row r="143" spans="1:10" s="57" customFormat="1" ht="12.75" customHeight="1">
      <c r="A143" s="12"/>
      <c r="B143" s="58">
        <v>1969</v>
      </c>
      <c r="C143" s="23">
        <v>64817</v>
      </c>
      <c r="D143" s="60">
        <f t="shared" si="17"/>
        <v>66215</v>
      </c>
      <c r="E143" s="61">
        <f t="shared" si="18"/>
        <v>1.0215684156934137</v>
      </c>
      <c r="F143" s="59" t="s">
        <v>66</v>
      </c>
      <c r="G143" s="54">
        <v>314.22000000000003</v>
      </c>
      <c r="H143" s="54">
        <f t="shared" si="19"/>
        <v>318.34134615384613</v>
      </c>
      <c r="I143" s="61">
        <f t="shared" si="20"/>
        <v>1.0131161165866147</v>
      </c>
      <c r="J143" s="55" t="s">
        <v>66</v>
      </c>
    </row>
    <row r="144" spans="1:10" s="57" customFormat="1" ht="12.75" customHeight="1">
      <c r="A144" s="12"/>
      <c r="B144" s="58">
        <v>1970</v>
      </c>
      <c r="C144" s="23">
        <v>72962</v>
      </c>
      <c r="D144" s="60">
        <f t="shared" si="17"/>
        <v>74853</v>
      </c>
      <c r="E144" s="61">
        <f t="shared" si="18"/>
        <v>1.0259176009429567</v>
      </c>
      <c r="F144" s="59" t="s">
        <v>66</v>
      </c>
      <c r="G144" s="54">
        <v>350.1</v>
      </c>
      <c r="H144" s="54">
        <f t="shared" si="19"/>
        <v>356</v>
      </c>
      <c r="I144" s="61">
        <f t="shared" si="20"/>
        <v>1.0168523279063124</v>
      </c>
      <c r="J144" s="55" t="s">
        <v>66</v>
      </c>
    </row>
    <row r="145" spans="1:18" s="57" customFormat="1" ht="12.75" customHeight="1">
      <c r="A145" s="62"/>
      <c r="B145" s="58">
        <v>1971</v>
      </c>
      <c r="C145" s="23">
        <v>81294</v>
      </c>
      <c r="D145" s="60">
        <f t="shared" si="17"/>
        <v>83240</v>
      </c>
      <c r="E145" s="61">
        <f>D145/C145</f>
        <v>1.0239378059881419</v>
      </c>
      <c r="F145" s="59" t="s">
        <v>66</v>
      </c>
      <c r="G145" s="54">
        <v>386.11</v>
      </c>
      <c r="H145" s="54">
        <f t="shared" si="19"/>
        <v>390.79812206572768</v>
      </c>
      <c r="I145" s="61">
        <f t="shared" si="20"/>
        <v>1.0121419338160826</v>
      </c>
      <c r="J145" s="55" t="s">
        <v>66</v>
      </c>
    </row>
    <row r="146" spans="1:18" s="57" customFormat="1" ht="12.75" customHeight="1">
      <c r="A146" s="62"/>
      <c r="B146" s="58">
        <v>1972</v>
      </c>
      <c r="C146" s="23">
        <v>90391</v>
      </c>
      <c r="D146" s="60">
        <f t="shared" si="17"/>
        <v>93141</v>
      </c>
      <c r="E146" s="61">
        <f>D146/C146</f>
        <v>1.0304233828589129</v>
      </c>
      <c r="F146" s="59" t="s">
        <v>66</v>
      </c>
      <c r="G146" s="54">
        <v>425.69</v>
      </c>
      <c r="H146" s="54">
        <f t="shared" si="19"/>
        <v>433.21395348837211</v>
      </c>
      <c r="I146" s="61">
        <f t="shared" si="20"/>
        <v>1.0176747245375088</v>
      </c>
      <c r="J146" s="55" t="s">
        <v>66</v>
      </c>
    </row>
    <row r="147" spans="1:18" s="57" customFormat="1" ht="12.75" customHeight="1">
      <c r="A147" s="62"/>
      <c r="B147" s="58">
        <v>1973</v>
      </c>
      <c r="C147" s="23">
        <v>99069</v>
      </c>
      <c r="D147" s="60">
        <f t="shared" si="17"/>
        <v>103365</v>
      </c>
      <c r="E147" s="61">
        <f>D147/C147</f>
        <v>1.0433637161978015</v>
      </c>
      <c r="F147" s="59" t="s">
        <v>66</v>
      </c>
      <c r="G147" s="54">
        <v>463.07</v>
      </c>
      <c r="H147" s="54">
        <f t="shared" si="19"/>
        <v>476.33640552995394</v>
      </c>
      <c r="I147" s="61">
        <f t="shared" si="20"/>
        <v>1.0286488123392876</v>
      </c>
      <c r="J147" s="55" t="s">
        <v>66</v>
      </c>
    </row>
    <row r="148" spans="1:18" s="57" customFormat="1" ht="15" customHeight="1">
      <c r="B148" s="26" t="s">
        <v>23</v>
      </c>
      <c r="C148" s="63" t="s">
        <v>67</v>
      </c>
      <c r="D148" s="63" t="s">
        <v>68</v>
      </c>
      <c r="E148" s="63"/>
      <c r="F148" s="63" t="s">
        <v>69</v>
      </c>
      <c r="G148" s="63" t="s">
        <v>70</v>
      </c>
      <c r="H148" s="63" t="s">
        <v>71</v>
      </c>
      <c r="I148" s="63" t="s">
        <v>72</v>
      </c>
      <c r="J148" s="27" t="str">
        <f>F148</f>
        <v>[P1c]</v>
      </c>
    </row>
    <row r="149" spans="1:18" s="41" customFormat="1" ht="24.75" customHeight="1">
      <c r="B149" s="39" t="str">
        <f>C148</f>
        <v>[P1a]</v>
      </c>
      <c r="C149" s="40" t="s">
        <v>73</v>
      </c>
      <c r="D149" s="40"/>
      <c r="E149" s="40"/>
      <c r="F149" s="40"/>
      <c r="G149" s="40"/>
      <c r="H149" s="40"/>
      <c r="I149" s="40"/>
      <c r="J149" s="40"/>
      <c r="K149" s="40"/>
      <c r="L149" s="40"/>
      <c r="M149" s="40"/>
      <c r="N149" s="40"/>
      <c r="O149" s="40"/>
      <c r="P149" s="40"/>
      <c r="Q149" s="40"/>
      <c r="R149" s="40"/>
    </row>
    <row r="150" spans="1:18" s="41" customFormat="1" ht="18" customHeight="1">
      <c r="A150" s="39"/>
      <c r="B150" s="39" t="str">
        <f>D148</f>
        <v>[P1b]</v>
      </c>
      <c r="C150" s="40" t="s">
        <v>74</v>
      </c>
      <c r="D150" s="40"/>
      <c r="E150" s="40"/>
      <c r="F150" s="40"/>
      <c r="G150" s="40"/>
      <c r="H150" s="40"/>
      <c r="I150" s="40"/>
      <c r="J150" s="40"/>
      <c r="K150" s="40"/>
      <c r="L150" s="40"/>
      <c r="M150" s="40"/>
      <c r="N150" s="40"/>
      <c r="O150" s="40"/>
      <c r="P150" s="40"/>
      <c r="Q150" s="40"/>
      <c r="R150" s="64"/>
    </row>
    <row r="151" spans="1:18" s="41" customFormat="1" ht="18" customHeight="1">
      <c r="B151" s="39" t="str">
        <f>F148</f>
        <v>[P1c]</v>
      </c>
      <c r="C151" s="40" t="s">
        <v>75</v>
      </c>
      <c r="D151" s="65"/>
      <c r="E151" s="65"/>
      <c r="F151" s="65"/>
      <c r="G151" s="65"/>
      <c r="H151" s="65"/>
      <c r="I151" s="65"/>
      <c r="J151" s="65"/>
      <c r="K151" s="65"/>
      <c r="L151" s="65"/>
      <c r="M151" s="65"/>
      <c r="N151" s="65"/>
      <c r="O151" s="65"/>
      <c r="P151" s="65"/>
      <c r="Q151" s="65"/>
    </row>
    <row r="152" spans="1:18" s="41" customFormat="1" ht="36" customHeight="1">
      <c r="B152" s="39" t="str">
        <f>G148</f>
        <v>[P1d]</v>
      </c>
      <c r="C152" s="40" t="s">
        <v>76</v>
      </c>
      <c r="D152" s="40"/>
      <c r="E152" s="40"/>
      <c r="F152" s="40"/>
      <c r="G152" s="40"/>
      <c r="H152" s="40"/>
      <c r="I152" s="40"/>
      <c r="J152" s="40"/>
      <c r="K152" s="40"/>
      <c r="L152" s="40"/>
      <c r="M152" s="40"/>
      <c r="N152" s="40"/>
      <c r="O152" s="40"/>
      <c r="P152" s="40"/>
      <c r="Q152" s="40"/>
      <c r="R152" s="40"/>
    </row>
    <row r="153" spans="1:18" s="41" customFormat="1" ht="24.75" customHeight="1">
      <c r="B153" s="39" t="str">
        <f>H148</f>
        <v>[P1e]</v>
      </c>
      <c r="C153" s="40" t="s">
        <v>77</v>
      </c>
      <c r="D153" s="40"/>
      <c r="E153" s="40"/>
      <c r="F153" s="40"/>
      <c r="G153" s="40"/>
      <c r="H153" s="40"/>
      <c r="I153" s="40"/>
      <c r="J153" s="40"/>
      <c r="K153" s="40"/>
      <c r="L153" s="40"/>
      <c r="M153" s="40"/>
      <c r="N153" s="40"/>
      <c r="O153" s="40"/>
      <c r="P153" s="40"/>
      <c r="Q153" s="40"/>
      <c r="R153" s="40"/>
    </row>
    <row r="154" spans="1:18" s="41" customFormat="1" ht="12.75" customHeight="1">
      <c r="A154" s="66"/>
      <c r="B154" s="39" t="str">
        <f>I148</f>
        <v>[P1f]</v>
      </c>
      <c r="C154" s="40" t="s">
        <v>78</v>
      </c>
      <c r="D154" s="40"/>
      <c r="E154" s="40"/>
      <c r="F154" s="40"/>
      <c r="G154" s="40"/>
      <c r="H154" s="40"/>
      <c r="I154" s="40"/>
      <c r="J154" s="40"/>
      <c r="K154" s="40"/>
      <c r="L154" s="40"/>
      <c r="M154" s="40"/>
      <c r="N154" s="40"/>
      <c r="O154" s="40"/>
      <c r="P154" s="40"/>
      <c r="Q154" s="40"/>
      <c r="R154" s="40"/>
    </row>
    <row r="155" spans="1:18" s="38" customFormat="1" ht="19.5" customHeight="1">
      <c r="A155" s="35" t="s">
        <v>79</v>
      </c>
      <c r="B155" s="43" t="s">
        <v>80</v>
      </c>
      <c r="C155" s="43"/>
      <c r="D155" s="43"/>
      <c r="E155" s="43"/>
      <c r="F155" s="43"/>
      <c r="G155" s="67"/>
      <c r="H155" s="67"/>
      <c r="I155" s="67"/>
      <c r="J155" s="67"/>
      <c r="K155" s="45"/>
      <c r="L155" s="45"/>
      <c r="M155" s="45"/>
      <c r="N155" s="45"/>
      <c r="O155" s="45"/>
      <c r="P155" s="45"/>
      <c r="Q155" s="45"/>
      <c r="R155" s="45"/>
    </row>
    <row r="156" spans="1:18" s="49" customFormat="1" ht="12.75" customHeight="1">
      <c r="A156" s="66"/>
      <c r="B156" s="13" t="s">
        <v>55</v>
      </c>
      <c r="C156" s="9" t="s">
        <v>56</v>
      </c>
      <c r="D156" s="46"/>
      <c r="E156" s="47" t="s">
        <v>81</v>
      </c>
      <c r="F156" s="11" t="s">
        <v>58</v>
      </c>
      <c r="G156" s="12"/>
      <c r="H156" s="68"/>
      <c r="I156" s="12"/>
      <c r="J156" s="12"/>
      <c r="K156" s="48"/>
    </row>
    <row r="157" spans="1:18" s="49" customFormat="1" ht="26.25" customHeight="1">
      <c r="A157" s="66"/>
      <c r="B157" s="50"/>
      <c r="C157" s="27" t="s">
        <v>82</v>
      </c>
      <c r="D157" s="27" t="s">
        <v>83</v>
      </c>
      <c r="E157" s="18"/>
      <c r="F157" s="9" t="s">
        <v>64</v>
      </c>
      <c r="G157" s="62"/>
      <c r="H157" s="62"/>
      <c r="I157" s="12"/>
      <c r="J157" s="12"/>
      <c r="K157" s="48"/>
    </row>
    <row r="158" spans="1:18" s="41" customFormat="1" ht="12.75" customHeight="1">
      <c r="A158" s="66"/>
      <c r="B158" s="24">
        <v>1970</v>
      </c>
      <c r="C158" s="69">
        <v>74853</v>
      </c>
      <c r="D158" s="69">
        <f t="shared" ref="D158:D199" si="21">B47</f>
        <v>74853</v>
      </c>
      <c r="E158" s="70">
        <f>D158/C158</f>
        <v>1</v>
      </c>
      <c r="F158" s="71" t="s">
        <v>66</v>
      </c>
      <c r="G158" s="72"/>
      <c r="H158" s="72"/>
      <c r="I158" s="72"/>
      <c r="J158" s="72"/>
      <c r="K158" s="72"/>
      <c r="L158" s="72"/>
      <c r="M158" s="72"/>
      <c r="N158" s="72"/>
      <c r="O158" s="72"/>
      <c r="P158" s="72"/>
      <c r="Q158" s="72"/>
      <c r="R158" s="72"/>
    </row>
    <row r="159" spans="1:18" s="41" customFormat="1" ht="12.75" customHeight="1">
      <c r="A159" s="66"/>
      <c r="B159" s="24">
        <v>1971</v>
      </c>
      <c r="C159" s="73">
        <v>83240</v>
      </c>
      <c r="D159" s="73">
        <f t="shared" si="21"/>
        <v>83240</v>
      </c>
      <c r="E159" s="74">
        <f t="shared" ref="E159:E199" si="22">D159/C159</f>
        <v>1</v>
      </c>
      <c r="F159" s="71" t="s">
        <v>66</v>
      </c>
      <c r="G159" s="72"/>
      <c r="H159" s="72"/>
      <c r="I159" s="72"/>
      <c r="J159" s="72"/>
      <c r="K159" s="72"/>
      <c r="L159" s="72"/>
      <c r="M159" s="72"/>
      <c r="N159" s="72"/>
      <c r="O159" s="72"/>
      <c r="P159" s="72"/>
      <c r="Q159" s="72"/>
      <c r="R159" s="72"/>
    </row>
    <row r="160" spans="1:18" s="41" customFormat="1" ht="12.75" customHeight="1">
      <c r="A160" s="66"/>
      <c r="B160" s="24">
        <v>1972</v>
      </c>
      <c r="C160" s="73">
        <v>93141</v>
      </c>
      <c r="D160" s="73">
        <f t="shared" si="21"/>
        <v>93141</v>
      </c>
      <c r="E160" s="74">
        <f t="shared" si="22"/>
        <v>1</v>
      </c>
      <c r="F160" s="71" t="s">
        <v>66</v>
      </c>
      <c r="G160" s="72"/>
      <c r="H160" s="72"/>
      <c r="I160" s="72"/>
      <c r="J160" s="72"/>
      <c r="K160" s="72"/>
      <c r="L160" s="72"/>
      <c r="M160" s="72"/>
      <c r="N160" s="72"/>
      <c r="O160" s="72"/>
      <c r="P160" s="72"/>
      <c r="Q160" s="72"/>
      <c r="R160" s="72"/>
    </row>
    <row r="161" spans="1:18" s="41" customFormat="1" ht="12.75" customHeight="1">
      <c r="A161" s="66"/>
      <c r="B161" s="24">
        <v>1973</v>
      </c>
      <c r="C161" s="73">
        <v>103365</v>
      </c>
      <c r="D161" s="73">
        <f t="shared" si="21"/>
        <v>103365</v>
      </c>
      <c r="E161" s="74">
        <f t="shared" si="22"/>
        <v>1</v>
      </c>
      <c r="F161" s="71" t="s">
        <v>66</v>
      </c>
      <c r="G161" s="72"/>
      <c r="H161" s="72"/>
      <c r="I161" s="72"/>
      <c r="J161" s="72"/>
      <c r="K161" s="72"/>
      <c r="L161" s="72"/>
      <c r="M161" s="72"/>
      <c r="N161" s="72"/>
      <c r="O161" s="72"/>
      <c r="P161" s="72"/>
      <c r="Q161" s="72"/>
      <c r="R161" s="72"/>
    </row>
    <row r="162" spans="1:18" s="41" customFormat="1" ht="12.75" customHeight="1">
      <c r="A162" s="66"/>
      <c r="B162" s="24">
        <v>1974</v>
      </c>
      <c r="C162" s="73">
        <v>117157</v>
      </c>
      <c r="D162" s="73">
        <f t="shared" si="21"/>
        <v>117157</v>
      </c>
      <c r="E162" s="74">
        <f t="shared" si="22"/>
        <v>1</v>
      </c>
      <c r="F162" s="71" t="s">
        <v>66</v>
      </c>
      <c r="G162" s="72"/>
      <c r="H162" s="72"/>
      <c r="I162" s="72"/>
      <c r="J162" s="72"/>
      <c r="K162" s="72"/>
      <c r="L162" s="72"/>
      <c r="M162" s="72"/>
      <c r="N162" s="72"/>
      <c r="O162" s="72"/>
      <c r="P162" s="72"/>
      <c r="Q162" s="72"/>
      <c r="R162" s="72"/>
    </row>
    <row r="163" spans="1:18" s="41" customFormat="1" ht="12.75" customHeight="1">
      <c r="A163" s="66"/>
      <c r="B163" s="24">
        <v>1975</v>
      </c>
      <c r="C163" s="73">
        <v>133585</v>
      </c>
      <c r="D163" s="73">
        <f t="shared" si="21"/>
        <v>133585</v>
      </c>
      <c r="E163" s="74">
        <f t="shared" si="22"/>
        <v>1</v>
      </c>
      <c r="F163" s="71" t="s">
        <v>66</v>
      </c>
      <c r="G163" s="72"/>
      <c r="H163" s="72"/>
      <c r="I163" s="72"/>
      <c r="J163" s="72"/>
      <c r="K163" s="72"/>
      <c r="L163" s="72"/>
      <c r="M163" s="72"/>
      <c r="N163" s="72"/>
      <c r="O163" s="72"/>
      <c r="P163" s="72"/>
      <c r="Q163" s="72"/>
      <c r="R163" s="72"/>
    </row>
    <row r="164" spans="1:18" s="41" customFormat="1" ht="12.75" customHeight="1">
      <c r="A164" s="66"/>
      <c r="B164" s="24">
        <v>1976</v>
      </c>
      <c r="C164" s="73">
        <v>153011</v>
      </c>
      <c r="D164" s="73">
        <f t="shared" si="21"/>
        <v>153011</v>
      </c>
      <c r="E164" s="74">
        <f t="shared" si="22"/>
        <v>1</v>
      </c>
      <c r="F164" s="71" t="s">
        <v>66</v>
      </c>
      <c r="G164" s="72"/>
      <c r="H164" s="72"/>
      <c r="I164" s="72"/>
      <c r="J164" s="72"/>
      <c r="K164" s="72"/>
      <c r="L164" s="72"/>
      <c r="M164" s="72"/>
      <c r="N164" s="72"/>
      <c r="O164" s="72"/>
      <c r="P164" s="72"/>
      <c r="Q164" s="72"/>
      <c r="R164" s="72"/>
    </row>
    <row r="165" spans="1:18" s="41" customFormat="1" ht="12.75" customHeight="1">
      <c r="A165" s="66"/>
      <c r="B165" s="24">
        <v>1977</v>
      </c>
      <c r="C165" s="73">
        <v>173979</v>
      </c>
      <c r="D165" s="73">
        <f t="shared" si="21"/>
        <v>173979</v>
      </c>
      <c r="E165" s="74">
        <f t="shared" si="22"/>
        <v>1</v>
      </c>
      <c r="F165" s="71" t="s">
        <v>66</v>
      </c>
      <c r="G165" s="72"/>
      <c r="H165" s="72"/>
      <c r="I165" s="72"/>
      <c r="J165" s="72"/>
      <c r="K165" s="72"/>
      <c r="L165" s="72"/>
      <c r="M165" s="72"/>
      <c r="N165" s="72"/>
      <c r="O165" s="72"/>
      <c r="P165" s="72"/>
      <c r="Q165" s="72"/>
      <c r="R165" s="72"/>
    </row>
    <row r="166" spans="1:18" s="41" customFormat="1" ht="12.75" customHeight="1">
      <c r="A166" s="66"/>
      <c r="B166" s="24">
        <v>1978</v>
      </c>
      <c r="C166" s="73">
        <v>195532</v>
      </c>
      <c r="D166" s="73">
        <f t="shared" si="21"/>
        <v>195528</v>
      </c>
      <c r="E166" s="74">
        <f t="shared" si="22"/>
        <v>0.9999795429904057</v>
      </c>
      <c r="F166" s="71" t="s">
        <v>66</v>
      </c>
      <c r="G166" s="72"/>
      <c r="H166" s="72"/>
      <c r="I166" s="72"/>
      <c r="J166" s="72"/>
      <c r="K166" s="72"/>
      <c r="L166" s="72"/>
      <c r="M166" s="72"/>
      <c r="N166" s="72"/>
      <c r="O166" s="72"/>
      <c r="P166" s="72"/>
      <c r="Q166" s="72"/>
      <c r="R166" s="72"/>
    </row>
    <row r="167" spans="1:18" s="41" customFormat="1" ht="12.75" customHeight="1">
      <c r="A167" s="66"/>
      <c r="B167" s="24">
        <v>1979</v>
      </c>
      <c r="C167" s="73">
        <v>221660</v>
      </c>
      <c r="D167" s="73">
        <f t="shared" si="21"/>
        <v>221658</v>
      </c>
      <c r="E167" s="74">
        <f t="shared" si="22"/>
        <v>0.99999097717224583</v>
      </c>
      <c r="F167" s="71" t="s">
        <v>66</v>
      </c>
      <c r="G167" s="72"/>
      <c r="H167" s="72"/>
      <c r="I167" s="72"/>
      <c r="J167" s="72"/>
      <c r="K167" s="72"/>
      <c r="L167" s="72"/>
      <c r="M167" s="72"/>
      <c r="N167" s="72"/>
      <c r="O167" s="72"/>
      <c r="P167" s="72"/>
      <c r="Q167" s="72"/>
      <c r="R167" s="72"/>
    </row>
    <row r="168" spans="1:18" s="41" customFormat="1" ht="12.75" customHeight="1">
      <c r="A168" s="66"/>
      <c r="B168" s="24">
        <v>1980</v>
      </c>
      <c r="C168" s="73">
        <v>255783</v>
      </c>
      <c r="D168" s="73">
        <f t="shared" si="21"/>
        <v>255784</v>
      </c>
      <c r="E168" s="74">
        <f t="shared" si="22"/>
        <v>1.0000039095639663</v>
      </c>
      <c r="F168" s="71" t="s">
        <v>66</v>
      </c>
      <c r="G168" s="72"/>
      <c r="H168" s="72"/>
      <c r="I168" s="72"/>
      <c r="J168" s="72"/>
      <c r="K168" s="72"/>
      <c r="L168" s="72"/>
      <c r="M168" s="72"/>
      <c r="N168" s="72"/>
      <c r="O168" s="72"/>
      <c r="P168" s="72"/>
      <c r="Q168" s="72"/>
      <c r="R168" s="72"/>
    </row>
    <row r="169" spans="1:18" s="41" customFormat="1" ht="12.75" customHeight="1">
      <c r="A169" s="66"/>
      <c r="B169" s="24">
        <v>1981</v>
      </c>
      <c r="C169" s="73">
        <v>296753</v>
      </c>
      <c r="D169" s="73">
        <f t="shared" si="21"/>
        <v>296739</v>
      </c>
      <c r="E169" s="74">
        <f t="shared" si="22"/>
        <v>0.99995282271788322</v>
      </c>
      <c r="F169" s="71" t="s">
        <v>66</v>
      </c>
      <c r="G169" s="72"/>
      <c r="H169" s="72"/>
      <c r="I169" s="72"/>
      <c r="J169" s="72"/>
      <c r="K169" s="72"/>
      <c r="L169" s="72"/>
      <c r="M169" s="72"/>
      <c r="N169" s="72"/>
      <c r="O169" s="72"/>
      <c r="P169" s="72"/>
      <c r="Q169" s="72"/>
      <c r="R169" s="72"/>
    </row>
    <row r="170" spans="1:18" s="41" customFormat="1" ht="12.75" customHeight="1">
      <c r="A170" s="66"/>
      <c r="B170" s="24">
        <v>1982</v>
      </c>
      <c r="C170" s="73">
        <v>334710</v>
      </c>
      <c r="D170" s="73">
        <f t="shared" si="21"/>
        <v>334699</v>
      </c>
      <c r="E170" s="74">
        <f t="shared" si="22"/>
        <v>0.99996713572943741</v>
      </c>
      <c r="F170" s="71" t="s">
        <v>66</v>
      </c>
      <c r="G170" s="72"/>
      <c r="H170" s="72"/>
      <c r="I170" s="72"/>
      <c r="J170" s="72"/>
      <c r="K170" s="72"/>
      <c r="L170" s="72"/>
      <c r="M170" s="72"/>
      <c r="N170" s="72"/>
      <c r="O170" s="72"/>
      <c r="P170" s="72"/>
      <c r="Q170" s="72"/>
      <c r="R170" s="72"/>
    </row>
    <row r="171" spans="1:18" s="41" customFormat="1" ht="12.75" customHeight="1">
      <c r="A171" s="66"/>
      <c r="B171" s="24">
        <v>1983</v>
      </c>
      <c r="C171" s="73">
        <v>368995</v>
      </c>
      <c r="D171" s="73">
        <f t="shared" si="21"/>
        <v>368987</v>
      </c>
      <c r="E171" s="74">
        <f t="shared" si="22"/>
        <v>0.99997831948942395</v>
      </c>
      <c r="F171" s="71" t="s">
        <v>66</v>
      </c>
      <c r="G171" s="72"/>
      <c r="H171" s="72"/>
      <c r="I171" s="72"/>
      <c r="J171" s="72"/>
      <c r="K171" s="72"/>
      <c r="L171" s="72"/>
      <c r="M171" s="72"/>
      <c r="N171" s="72"/>
      <c r="O171" s="72"/>
      <c r="P171" s="72"/>
      <c r="Q171" s="72"/>
      <c r="R171" s="72"/>
    </row>
    <row r="172" spans="1:18" s="41" customFormat="1" ht="12.75" customHeight="1">
      <c r="A172" s="66"/>
      <c r="B172" s="24">
        <v>1984</v>
      </c>
      <c r="C172" s="73">
        <v>406516</v>
      </c>
      <c r="D172" s="73">
        <f t="shared" si="21"/>
        <v>406512</v>
      </c>
      <c r="E172" s="74">
        <f t="shared" si="22"/>
        <v>0.99999016028889387</v>
      </c>
      <c r="F172" s="71" t="s">
        <v>66</v>
      </c>
      <c r="G172" s="72"/>
      <c r="H172" s="72"/>
      <c r="I172" s="72"/>
      <c r="J172" s="72"/>
      <c r="K172" s="72"/>
      <c r="L172" s="72"/>
      <c r="M172" s="72"/>
      <c r="N172" s="72"/>
      <c r="O172" s="72"/>
      <c r="P172" s="72"/>
      <c r="Q172" s="72"/>
      <c r="R172" s="72"/>
    </row>
    <row r="173" spans="1:18" s="41" customFormat="1" ht="12.75" customHeight="1">
      <c r="A173" s="66"/>
      <c r="B173" s="24">
        <v>1985</v>
      </c>
      <c r="C173" s="73">
        <v>444623</v>
      </c>
      <c r="D173" s="73">
        <f t="shared" si="21"/>
        <v>444608</v>
      </c>
      <c r="E173" s="74">
        <f t="shared" si="22"/>
        <v>0.99996626355361728</v>
      </c>
      <c r="F173" s="71" t="s">
        <v>66</v>
      </c>
      <c r="G173" s="72"/>
      <c r="H173" s="72"/>
      <c r="I173" s="72"/>
      <c r="J173" s="72"/>
      <c r="K173" s="72"/>
      <c r="L173" s="72"/>
      <c r="M173" s="72"/>
      <c r="N173" s="72"/>
      <c r="O173" s="72"/>
      <c r="P173" s="72"/>
      <c r="Q173" s="72"/>
      <c r="R173" s="72"/>
    </row>
    <row r="174" spans="1:18" s="41" customFormat="1" ht="12.75" customHeight="1">
      <c r="A174" s="66"/>
      <c r="B174" s="24">
        <v>1986</v>
      </c>
      <c r="C174" s="73">
        <v>476900</v>
      </c>
      <c r="D174" s="73">
        <f t="shared" si="21"/>
        <v>476892</v>
      </c>
      <c r="E174" s="74">
        <f t="shared" si="22"/>
        <v>0.99998322499475778</v>
      </c>
      <c r="F174" s="71" t="s">
        <v>66</v>
      </c>
      <c r="G174" s="72"/>
      <c r="H174" s="72"/>
      <c r="I174" s="72"/>
      <c r="J174" s="72"/>
      <c r="K174" s="72"/>
      <c r="L174" s="72"/>
      <c r="M174" s="72"/>
      <c r="N174" s="72"/>
      <c r="O174" s="72"/>
      <c r="P174" s="72"/>
      <c r="Q174" s="72"/>
      <c r="R174" s="72"/>
    </row>
    <row r="175" spans="1:18" s="41" customFormat="1" ht="12.75" customHeight="1">
      <c r="A175" s="66"/>
      <c r="B175" s="24">
        <v>1987</v>
      </c>
      <c r="C175" s="73">
        <v>519116</v>
      </c>
      <c r="D175" s="73">
        <f t="shared" si="21"/>
        <v>519117</v>
      </c>
      <c r="E175" s="74">
        <f t="shared" si="22"/>
        <v>1.000001926351721</v>
      </c>
      <c r="F175" s="71" t="s">
        <v>66</v>
      </c>
      <c r="G175" s="72"/>
      <c r="H175" s="72"/>
      <c r="I175" s="72"/>
      <c r="J175" s="72"/>
      <c r="K175" s="72"/>
      <c r="L175" s="72"/>
      <c r="M175" s="72"/>
      <c r="N175" s="72"/>
      <c r="O175" s="72"/>
      <c r="P175" s="72"/>
      <c r="Q175" s="72"/>
      <c r="R175" s="72"/>
    </row>
    <row r="176" spans="1:18" s="41" customFormat="1" ht="12.75" customHeight="1">
      <c r="A176" s="66"/>
      <c r="B176" s="24">
        <v>1988</v>
      </c>
      <c r="C176" s="73">
        <v>581698</v>
      </c>
      <c r="D176" s="73">
        <f t="shared" si="21"/>
        <v>581698</v>
      </c>
      <c r="E176" s="74">
        <f t="shared" si="22"/>
        <v>1</v>
      </c>
      <c r="F176" s="71" t="s">
        <v>66</v>
      </c>
      <c r="G176" s="72"/>
      <c r="H176" s="72"/>
      <c r="I176" s="72"/>
      <c r="J176" s="72"/>
      <c r="K176" s="72"/>
      <c r="L176" s="72"/>
      <c r="M176" s="72"/>
      <c r="N176" s="72"/>
      <c r="O176" s="72"/>
      <c r="P176" s="72"/>
      <c r="Q176" s="72"/>
      <c r="R176" s="72"/>
    </row>
    <row r="177" spans="1:18" s="41" customFormat="1" ht="12.75" customHeight="1">
      <c r="A177" s="66"/>
      <c r="B177" s="24">
        <v>1989</v>
      </c>
      <c r="C177" s="73">
        <v>647473</v>
      </c>
      <c r="D177" s="73">
        <f t="shared" si="21"/>
        <v>647465</v>
      </c>
      <c r="E177" s="74">
        <f t="shared" si="22"/>
        <v>0.99998764427242526</v>
      </c>
      <c r="F177" s="71" t="s">
        <v>66</v>
      </c>
      <c r="G177" s="72"/>
      <c r="H177" s="72"/>
      <c r="I177" s="72"/>
      <c r="J177" s="72"/>
      <c r="K177" s="72"/>
      <c r="L177" s="72"/>
      <c r="M177" s="72"/>
      <c r="N177" s="72"/>
      <c r="O177" s="72"/>
      <c r="P177" s="72"/>
      <c r="Q177" s="72"/>
      <c r="R177" s="72"/>
    </row>
    <row r="178" spans="1:18" s="41" customFormat="1" ht="12.75" customHeight="1">
      <c r="A178" s="66"/>
      <c r="B178" s="24">
        <v>1990</v>
      </c>
      <c r="C178" s="73">
        <v>724282</v>
      </c>
      <c r="D178" s="73">
        <f t="shared" si="21"/>
        <v>724278</v>
      </c>
      <c r="E178" s="74">
        <f t="shared" si="22"/>
        <v>0.99999447728923263</v>
      </c>
      <c r="F178" s="71" t="s">
        <v>66</v>
      </c>
      <c r="G178" s="72"/>
      <c r="H178" s="72"/>
      <c r="I178" s="72"/>
      <c r="J178" s="72"/>
      <c r="K178" s="72"/>
      <c r="L178" s="72"/>
      <c r="M178" s="72"/>
      <c r="N178" s="72"/>
      <c r="O178" s="72"/>
      <c r="P178" s="72"/>
      <c r="Q178" s="72"/>
      <c r="R178" s="72"/>
    </row>
    <row r="179" spans="1:18" s="41" customFormat="1" ht="12.75" customHeight="1">
      <c r="A179" s="66"/>
      <c r="B179" s="24">
        <v>1991</v>
      </c>
      <c r="C179" s="73">
        <v>791524</v>
      </c>
      <c r="D179" s="73">
        <f t="shared" si="21"/>
        <v>791525</v>
      </c>
      <c r="E179" s="74">
        <f t="shared" si="22"/>
        <v>1.0000012633855702</v>
      </c>
      <c r="F179" s="71" t="s">
        <v>66</v>
      </c>
      <c r="G179" s="72"/>
      <c r="H179" s="72"/>
      <c r="I179" s="72"/>
      <c r="J179" s="72"/>
      <c r="K179" s="72"/>
      <c r="L179" s="72"/>
      <c r="M179" s="72"/>
      <c r="N179" s="72"/>
      <c r="O179" s="72"/>
      <c r="P179" s="72"/>
      <c r="Q179" s="72"/>
      <c r="R179" s="72"/>
    </row>
    <row r="180" spans="1:18" s="41" customFormat="1" ht="12.75" customHeight="1">
      <c r="A180" s="66"/>
      <c r="B180" s="24">
        <v>1992</v>
      </c>
      <c r="C180" s="73">
        <v>857927</v>
      </c>
      <c r="D180" s="73">
        <f t="shared" si="21"/>
        <v>857910</v>
      </c>
      <c r="E180" s="74">
        <f t="shared" si="22"/>
        <v>0.99998018479427742</v>
      </c>
      <c r="F180" s="71" t="s">
        <v>66</v>
      </c>
      <c r="G180" s="72"/>
      <c r="H180" s="72"/>
      <c r="I180" s="72"/>
      <c r="J180" s="72"/>
      <c r="K180" s="72"/>
      <c r="L180" s="72"/>
      <c r="M180" s="72"/>
      <c r="N180" s="72"/>
      <c r="O180" s="72"/>
      <c r="P180" s="72"/>
      <c r="Q180" s="72"/>
      <c r="R180" s="72"/>
    </row>
    <row r="181" spans="1:18" s="41" customFormat="1" ht="12.75" customHeight="1">
      <c r="A181" s="66"/>
      <c r="B181" s="24">
        <v>1993</v>
      </c>
      <c r="C181" s="73">
        <v>921499</v>
      </c>
      <c r="D181" s="73">
        <f t="shared" si="21"/>
        <v>921492</v>
      </c>
      <c r="E181" s="74">
        <f t="shared" si="22"/>
        <v>0.99999240368139308</v>
      </c>
      <c r="F181" s="71" t="s">
        <v>66</v>
      </c>
      <c r="G181" s="72"/>
      <c r="H181" s="72"/>
      <c r="I181" s="72"/>
      <c r="J181" s="72"/>
      <c r="K181" s="72"/>
      <c r="L181" s="72"/>
      <c r="M181" s="72"/>
      <c r="N181" s="72"/>
      <c r="O181" s="72"/>
      <c r="P181" s="72"/>
      <c r="Q181" s="72"/>
      <c r="R181" s="72"/>
    </row>
    <row r="182" spans="1:18" s="41" customFormat="1" ht="12.75" customHeight="1">
      <c r="A182" s="66"/>
      <c r="B182" s="24">
        <v>1994</v>
      </c>
      <c r="C182" s="73">
        <v>972696</v>
      </c>
      <c r="D182" s="73">
        <f t="shared" si="21"/>
        <v>972687</v>
      </c>
      <c r="E182" s="74">
        <f t="shared" si="22"/>
        <v>0.99999074736608351</v>
      </c>
      <c r="F182" s="71" t="s">
        <v>66</v>
      </c>
      <c r="G182" s="72"/>
      <c r="H182" s="72"/>
      <c r="I182" s="72"/>
      <c r="J182" s="72"/>
      <c r="K182" s="72"/>
      <c r="L182" s="72"/>
      <c r="M182" s="72"/>
      <c r="N182" s="72"/>
      <c r="O182" s="72"/>
      <c r="P182" s="72"/>
      <c r="Q182" s="72"/>
      <c r="R182" s="72"/>
    </row>
    <row r="183" spans="1:18" s="41" customFormat="1" ht="12.75" customHeight="1">
      <c r="A183" s="66"/>
      <c r="B183" s="24">
        <v>1995</v>
      </c>
      <c r="C183" s="73">
        <v>1027457.0000000001</v>
      </c>
      <c r="D183" s="73">
        <f t="shared" si="21"/>
        <v>1027432</v>
      </c>
      <c r="E183" s="74">
        <f t="shared" si="22"/>
        <v>0.99997566808148652</v>
      </c>
      <c r="F183" s="71" t="s">
        <v>66</v>
      </c>
      <c r="G183" s="72"/>
      <c r="H183" s="72"/>
      <c r="I183" s="72"/>
      <c r="J183" s="72"/>
      <c r="K183" s="72"/>
      <c r="L183" s="72"/>
      <c r="M183" s="72"/>
      <c r="N183" s="72"/>
      <c r="O183" s="72"/>
      <c r="P183" s="72"/>
      <c r="Q183" s="72"/>
      <c r="R183" s="72"/>
    </row>
    <row r="184" spans="1:18" s="41" customFormat="1" ht="12.75" customHeight="1">
      <c r="A184" s="66"/>
      <c r="B184" s="24">
        <v>1996</v>
      </c>
      <c r="C184" s="73">
        <v>1081861</v>
      </c>
      <c r="D184" s="73">
        <f t="shared" si="21"/>
        <v>1081849</v>
      </c>
      <c r="E184" s="74">
        <f t="shared" si="22"/>
        <v>0.99998890800204465</v>
      </c>
      <c r="F184" s="71" t="s">
        <v>66</v>
      </c>
      <c r="G184" s="72"/>
      <c r="H184" s="72"/>
      <c r="I184" s="72"/>
      <c r="J184" s="72"/>
      <c r="K184" s="72"/>
      <c r="L184" s="72"/>
      <c r="M184" s="72"/>
      <c r="N184" s="72"/>
      <c r="O184" s="72"/>
      <c r="P184" s="72"/>
      <c r="Q184" s="72"/>
      <c r="R184" s="72"/>
    </row>
    <row r="185" spans="1:18" s="41" customFormat="1" ht="12.75" customHeight="1">
      <c r="A185" s="66"/>
      <c r="B185" s="24">
        <v>1997</v>
      </c>
      <c r="C185" s="73">
        <v>1142632</v>
      </c>
      <c r="D185" s="73">
        <f t="shared" si="21"/>
        <v>1142621</v>
      </c>
      <c r="E185" s="74">
        <f t="shared" si="22"/>
        <v>0.99999037310350136</v>
      </c>
      <c r="F185" s="71" t="s">
        <v>66</v>
      </c>
      <c r="G185" s="72"/>
      <c r="H185" s="72"/>
      <c r="I185" s="72"/>
      <c r="J185" s="72"/>
      <c r="K185" s="72"/>
      <c r="L185" s="72"/>
      <c r="M185" s="72"/>
      <c r="N185" s="72"/>
      <c r="O185" s="72"/>
      <c r="P185" s="72"/>
      <c r="Q185" s="72"/>
      <c r="R185" s="72"/>
    </row>
    <row r="186" spans="1:18" s="41" customFormat="1" ht="12.75" customHeight="1">
      <c r="A186" s="66"/>
      <c r="B186" s="24">
        <v>1998</v>
      </c>
      <c r="C186" s="73">
        <v>1209038</v>
      </c>
      <c r="D186" s="73">
        <f t="shared" si="21"/>
        <v>1208933</v>
      </c>
      <c r="E186" s="74">
        <f t="shared" si="22"/>
        <v>0.99991315409441228</v>
      </c>
      <c r="F186" s="71" t="s">
        <v>66</v>
      </c>
      <c r="G186" s="72"/>
      <c r="H186" s="72"/>
      <c r="I186" s="72"/>
      <c r="J186" s="72"/>
      <c r="K186" s="72"/>
      <c r="L186" s="72"/>
      <c r="M186" s="72"/>
      <c r="N186" s="72"/>
      <c r="O186" s="72"/>
      <c r="P186" s="72"/>
      <c r="Q186" s="72"/>
      <c r="R186" s="72"/>
    </row>
    <row r="187" spans="1:18" s="41" customFormat="1" ht="12.75" customHeight="1">
      <c r="A187" s="66"/>
      <c r="B187" s="24">
        <v>1999</v>
      </c>
      <c r="C187" s="73">
        <v>1286622</v>
      </c>
      <c r="D187" s="73">
        <f t="shared" si="21"/>
        <v>1286456</v>
      </c>
      <c r="E187" s="74">
        <f t="shared" si="22"/>
        <v>0.99987097997702512</v>
      </c>
      <c r="F187" s="71" t="s">
        <v>66</v>
      </c>
      <c r="G187" s="72"/>
      <c r="H187" s="72"/>
      <c r="I187" s="72"/>
      <c r="J187" s="72"/>
      <c r="K187" s="72"/>
      <c r="L187" s="72"/>
      <c r="M187" s="72"/>
      <c r="N187" s="72"/>
      <c r="O187" s="72"/>
      <c r="P187" s="72"/>
      <c r="Q187" s="72"/>
      <c r="R187" s="72"/>
    </row>
    <row r="188" spans="1:18" s="41" customFormat="1" ht="12.75" customHeight="1">
      <c r="A188" s="66"/>
      <c r="B188" s="24">
        <v>2000</v>
      </c>
      <c r="C188" s="73">
        <v>1377185</v>
      </c>
      <c r="D188" s="73">
        <f t="shared" si="21"/>
        <v>1377178</v>
      </c>
      <c r="E188" s="74">
        <f t="shared" si="22"/>
        <v>0.99999491716799127</v>
      </c>
      <c r="F188" s="71" t="s">
        <v>66</v>
      </c>
      <c r="G188" s="72"/>
      <c r="H188" s="72"/>
      <c r="I188" s="72"/>
      <c r="J188" s="72"/>
      <c r="K188" s="72"/>
      <c r="L188" s="72"/>
      <c r="M188" s="72"/>
      <c r="N188" s="72"/>
      <c r="O188" s="72"/>
      <c r="P188" s="72"/>
      <c r="Q188" s="72"/>
      <c r="R188" s="72"/>
    </row>
    <row r="189" spans="1:18" s="41" customFormat="1" ht="12.75" customHeight="1">
      <c r="A189" s="66"/>
      <c r="B189" s="24">
        <v>2001</v>
      </c>
      <c r="C189" s="73">
        <v>1494116</v>
      </c>
      <c r="D189" s="73">
        <f t="shared" si="21"/>
        <v>1493347</v>
      </c>
      <c r="E189" s="74">
        <f t="shared" si="22"/>
        <v>0.99948531439325994</v>
      </c>
      <c r="F189" s="71" t="s">
        <v>66</v>
      </c>
      <c r="G189" s="72"/>
      <c r="H189" s="72"/>
      <c r="I189" s="72"/>
      <c r="J189" s="72"/>
      <c r="K189" s="72"/>
      <c r="L189" s="72"/>
      <c r="M189" s="72"/>
      <c r="N189" s="72"/>
      <c r="O189" s="72"/>
      <c r="P189" s="72"/>
      <c r="Q189" s="72"/>
      <c r="R189" s="72"/>
    </row>
    <row r="190" spans="1:18" s="41" customFormat="1" ht="12.75" customHeight="1">
      <c r="A190" s="66"/>
      <c r="B190" s="24">
        <v>2002</v>
      </c>
      <c r="C190" s="73">
        <v>1636416</v>
      </c>
      <c r="D190" s="73">
        <f t="shared" si="21"/>
        <v>1637956</v>
      </c>
      <c r="E190" s="74">
        <f t="shared" si="22"/>
        <v>1.0009410809965191</v>
      </c>
      <c r="F190" s="71" t="s">
        <v>66</v>
      </c>
      <c r="G190" s="72"/>
      <c r="H190" s="72"/>
      <c r="I190" s="72"/>
      <c r="J190" s="72"/>
      <c r="K190" s="72"/>
      <c r="L190" s="72"/>
      <c r="M190" s="72"/>
      <c r="N190" s="72"/>
      <c r="O190" s="72"/>
      <c r="P190" s="72"/>
      <c r="Q190" s="72"/>
      <c r="R190" s="72"/>
    </row>
    <row r="191" spans="1:18" s="41" customFormat="1" ht="12.75" customHeight="1">
      <c r="A191" s="66"/>
      <c r="B191" s="24">
        <v>2003</v>
      </c>
      <c r="C191" s="73">
        <v>1774297</v>
      </c>
      <c r="D191" s="73">
        <f t="shared" si="21"/>
        <v>1775439</v>
      </c>
      <c r="E191" s="74">
        <f t="shared" si="22"/>
        <v>1.0006436351974894</v>
      </c>
      <c r="F191" s="71" t="s">
        <v>66</v>
      </c>
      <c r="G191" s="72"/>
      <c r="H191" s="72"/>
      <c r="I191" s="72"/>
      <c r="J191" s="72"/>
      <c r="K191" s="72"/>
      <c r="L191" s="72"/>
      <c r="M191" s="72"/>
      <c r="N191" s="72"/>
      <c r="O191" s="72"/>
      <c r="P191" s="72"/>
      <c r="Q191" s="72"/>
      <c r="R191" s="72"/>
    </row>
    <row r="192" spans="1:18" s="41" customFormat="1" ht="12.75" customHeight="1">
      <c r="A192" s="66"/>
      <c r="B192" s="24">
        <v>2004</v>
      </c>
      <c r="C192" s="73">
        <v>1900045</v>
      </c>
      <c r="D192" s="73">
        <f t="shared" si="21"/>
        <v>1901599</v>
      </c>
      <c r="E192" s="74">
        <f t="shared" si="22"/>
        <v>1.0008178753661097</v>
      </c>
      <c r="F192" s="71" t="s">
        <v>66</v>
      </c>
      <c r="G192" s="72"/>
      <c r="H192" s="72"/>
      <c r="I192" s="72"/>
      <c r="J192" s="72"/>
      <c r="K192" s="72"/>
      <c r="L192" s="72"/>
      <c r="M192" s="72"/>
      <c r="N192" s="72"/>
      <c r="O192" s="72"/>
      <c r="P192" s="72"/>
      <c r="Q192" s="72"/>
      <c r="R192" s="72"/>
    </row>
    <row r="193" spans="1:18" s="41" customFormat="1" ht="12.75" customHeight="1">
      <c r="A193" s="66"/>
      <c r="B193" s="24">
        <v>2005</v>
      </c>
      <c r="C193" s="73">
        <v>2029147</v>
      </c>
      <c r="D193" s="73">
        <f t="shared" si="21"/>
        <v>2030497</v>
      </c>
      <c r="E193" s="74">
        <f t="shared" si="22"/>
        <v>1.0006653041893958</v>
      </c>
      <c r="F193" s="71" t="s">
        <v>66</v>
      </c>
      <c r="G193" s="72"/>
      <c r="H193" s="72"/>
      <c r="I193" s="72"/>
      <c r="J193" s="72"/>
      <c r="K193" s="72"/>
      <c r="L193" s="72"/>
      <c r="M193" s="72"/>
      <c r="N193" s="72"/>
      <c r="O193" s="72"/>
      <c r="P193" s="72"/>
      <c r="Q193" s="72"/>
      <c r="R193" s="72"/>
    </row>
    <row r="194" spans="1:18" s="41" customFormat="1" ht="12.75" customHeight="1">
      <c r="A194" s="66"/>
      <c r="B194" s="24">
        <v>2006</v>
      </c>
      <c r="C194" s="73">
        <v>2162409</v>
      </c>
      <c r="D194" s="73">
        <f t="shared" si="21"/>
        <v>2163293</v>
      </c>
      <c r="E194" s="74">
        <f t="shared" si="22"/>
        <v>1.0004088033299898</v>
      </c>
      <c r="F194" s="71" t="s">
        <v>66</v>
      </c>
      <c r="G194" s="72"/>
      <c r="H194" s="72"/>
      <c r="I194" s="72"/>
      <c r="J194" s="72"/>
      <c r="K194" s="72"/>
      <c r="L194" s="72"/>
      <c r="M194" s="72"/>
      <c r="N194" s="72"/>
      <c r="O194" s="72"/>
      <c r="P194" s="72"/>
      <c r="Q194" s="72"/>
      <c r="R194" s="72"/>
    </row>
    <row r="195" spans="1:18" s="41" customFormat="1" ht="12.75" customHeight="1">
      <c r="A195" s="66"/>
      <c r="B195" s="24">
        <v>2007</v>
      </c>
      <c r="C195" s="73">
        <v>2297098</v>
      </c>
      <c r="D195" s="73">
        <f t="shared" si="21"/>
        <v>2298269</v>
      </c>
      <c r="E195" s="74">
        <f t="shared" si="22"/>
        <v>1.000509773636127</v>
      </c>
      <c r="F195" s="71" t="s">
        <v>66</v>
      </c>
      <c r="G195" s="72"/>
      <c r="H195" s="72"/>
      <c r="I195" s="72"/>
      <c r="J195" s="72"/>
      <c r="K195" s="72"/>
      <c r="L195" s="72"/>
      <c r="M195" s="72"/>
      <c r="N195" s="72"/>
      <c r="O195" s="72"/>
      <c r="P195" s="72"/>
      <c r="Q195" s="72"/>
      <c r="R195" s="72"/>
    </row>
    <row r="196" spans="1:18" s="41" customFormat="1" ht="12.75" customHeight="1">
      <c r="A196" s="66"/>
      <c r="B196" s="24">
        <v>2008</v>
      </c>
      <c r="C196" s="73">
        <v>2403938</v>
      </c>
      <c r="D196" s="73">
        <f t="shared" si="21"/>
        <v>2406644</v>
      </c>
      <c r="E196" s="74">
        <f t="shared" si="22"/>
        <v>1.0011256529910506</v>
      </c>
      <c r="F196" s="71" t="s">
        <v>66</v>
      </c>
      <c r="G196" s="72"/>
      <c r="H196" s="72"/>
      <c r="I196" s="72"/>
      <c r="J196" s="72"/>
      <c r="K196" s="72"/>
      <c r="L196" s="72"/>
      <c r="M196" s="72"/>
      <c r="N196" s="72"/>
      <c r="O196" s="72"/>
      <c r="P196" s="72"/>
      <c r="Q196" s="72"/>
      <c r="R196" s="72"/>
    </row>
    <row r="197" spans="1:18" s="41" customFormat="1" ht="12.75" customHeight="1">
      <c r="A197" s="66"/>
      <c r="B197" s="24">
        <v>2009</v>
      </c>
      <c r="C197" s="73">
        <v>2495842</v>
      </c>
      <c r="D197" s="73">
        <f t="shared" si="21"/>
        <v>2501171</v>
      </c>
      <c r="E197" s="74">
        <f t="shared" si="22"/>
        <v>1.0021351511834482</v>
      </c>
      <c r="F197" s="71" t="s">
        <v>66</v>
      </c>
      <c r="G197" s="72"/>
      <c r="H197" s="72"/>
      <c r="I197" s="72"/>
      <c r="J197" s="72"/>
      <c r="K197" s="72"/>
      <c r="L197" s="72"/>
      <c r="M197" s="72"/>
      <c r="N197" s="72"/>
      <c r="O197" s="72"/>
      <c r="P197" s="72"/>
      <c r="Q197" s="72"/>
      <c r="R197" s="72"/>
    </row>
    <row r="198" spans="1:18" s="41" customFormat="1" ht="12.75" customHeight="1">
      <c r="A198" s="66"/>
      <c r="B198" s="24">
        <v>2010</v>
      </c>
      <c r="C198" s="73">
        <v>2593644</v>
      </c>
      <c r="D198" s="73">
        <f t="shared" si="21"/>
        <v>2599951</v>
      </c>
      <c r="E198" s="74">
        <f t="shared" si="22"/>
        <v>1.0024317138358232</v>
      </c>
      <c r="F198" s="71" t="s">
        <v>66</v>
      </c>
      <c r="G198" s="72"/>
      <c r="H198" s="72"/>
      <c r="I198" s="72"/>
      <c r="J198" s="72"/>
      <c r="K198" s="72"/>
      <c r="L198" s="72"/>
      <c r="M198" s="72"/>
      <c r="N198" s="72"/>
      <c r="O198" s="72"/>
      <c r="P198" s="72"/>
      <c r="Q198" s="72"/>
      <c r="R198" s="72"/>
    </row>
    <row r="199" spans="1:18" s="41" customFormat="1" ht="12.75" customHeight="1">
      <c r="A199" s="66"/>
      <c r="B199" s="24">
        <v>2011</v>
      </c>
      <c r="C199" s="73">
        <v>2695047</v>
      </c>
      <c r="D199" s="73">
        <f t="shared" si="21"/>
        <v>2700739</v>
      </c>
      <c r="E199" s="74">
        <f t="shared" si="22"/>
        <v>1.0021120225361562</v>
      </c>
      <c r="F199" s="71" t="s">
        <v>66</v>
      </c>
      <c r="G199" s="72"/>
      <c r="H199" s="72"/>
      <c r="I199" s="72"/>
      <c r="J199" s="72"/>
      <c r="K199" s="72"/>
      <c r="L199" s="72"/>
      <c r="M199" s="72"/>
      <c r="N199" s="72"/>
      <c r="O199" s="72"/>
      <c r="P199" s="72"/>
      <c r="Q199" s="72"/>
      <c r="R199" s="72"/>
    </row>
    <row r="200" spans="1:18" s="41" customFormat="1" ht="12.75" customHeight="1">
      <c r="A200" s="66"/>
      <c r="B200" s="24">
        <v>2012</v>
      </c>
      <c r="C200" s="73">
        <v>2809019</v>
      </c>
      <c r="D200" s="75" t="s">
        <v>65</v>
      </c>
      <c r="E200" s="76">
        <f>AVERAGE(E$197:E$199)</f>
        <v>1.0022262958518091</v>
      </c>
      <c r="F200" s="77">
        <f>C200*E200</f>
        <v>2815272.707347353</v>
      </c>
      <c r="G200" s="72"/>
      <c r="H200" s="72"/>
      <c r="I200" s="72"/>
      <c r="J200" s="72"/>
      <c r="K200" s="72"/>
      <c r="L200" s="72"/>
      <c r="M200" s="72"/>
      <c r="N200" s="72"/>
      <c r="O200" s="72"/>
      <c r="P200" s="72"/>
      <c r="Q200" s="72"/>
      <c r="R200" s="72"/>
    </row>
    <row r="201" spans="1:18" s="41" customFormat="1" ht="12.75" customHeight="1">
      <c r="A201" s="66"/>
      <c r="B201" s="24">
        <v>2013</v>
      </c>
      <c r="C201" s="73">
        <v>2915480</v>
      </c>
      <c r="D201" s="75" t="s">
        <v>65</v>
      </c>
      <c r="E201" s="76">
        <f>E200</f>
        <v>1.0022262958518091</v>
      </c>
      <c r="F201" s="77">
        <f t="shared" ref="F201:F209" si="23">C201*E201</f>
        <v>2921970.7210300323</v>
      </c>
      <c r="G201" s="72"/>
      <c r="H201" s="72"/>
      <c r="I201" s="72"/>
      <c r="J201" s="72"/>
      <c r="K201" s="72"/>
      <c r="L201" s="72"/>
      <c r="M201" s="72"/>
      <c r="N201" s="72"/>
      <c r="O201" s="72"/>
      <c r="P201" s="72"/>
      <c r="Q201" s="72"/>
      <c r="R201" s="72"/>
    </row>
    <row r="202" spans="1:18" s="41" customFormat="1" ht="12.75" customHeight="1">
      <c r="A202" s="66"/>
      <c r="B202" s="24">
        <v>2014</v>
      </c>
      <c r="C202" s="73">
        <v>3130151</v>
      </c>
      <c r="D202" s="75" t="s">
        <v>65</v>
      </c>
      <c r="E202" s="76">
        <f t="shared" ref="E202:E209" si="24">E201</f>
        <v>1.0022262958518091</v>
      </c>
      <c r="F202" s="77">
        <f t="shared" si="23"/>
        <v>3137119.6421868363</v>
      </c>
      <c r="G202" s="72"/>
      <c r="H202" s="72"/>
      <c r="I202" s="72"/>
      <c r="J202" s="72"/>
      <c r="K202" s="72"/>
      <c r="L202" s="72"/>
      <c r="M202" s="72"/>
      <c r="N202" s="72"/>
      <c r="O202" s="72"/>
      <c r="P202" s="72"/>
      <c r="Q202" s="72"/>
      <c r="R202" s="72"/>
    </row>
    <row r="203" spans="1:18" s="41" customFormat="1" ht="12.75" customHeight="1">
      <c r="A203" s="66"/>
      <c r="B203" s="24">
        <v>2015</v>
      </c>
      <c r="C203" s="73">
        <v>3307604</v>
      </c>
      <c r="D203" s="75" t="s">
        <v>65</v>
      </c>
      <c r="E203" s="76">
        <f t="shared" si="24"/>
        <v>1.0022262958518091</v>
      </c>
      <c r="F203" s="77">
        <f t="shared" si="23"/>
        <v>3314967.7050646273</v>
      </c>
      <c r="G203" s="72"/>
      <c r="H203" s="72"/>
      <c r="I203" s="72"/>
      <c r="J203" s="72"/>
      <c r="K203" s="72"/>
      <c r="L203" s="72"/>
      <c r="M203" s="72"/>
      <c r="N203" s="72"/>
      <c r="O203" s="72"/>
      <c r="P203" s="72"/>
      <c r="Q203" s="72"/>
      <c r="R203" s="72"/>
    </row>
    <row r="204" spans="1:18" s="41" customFormat="1" ht="12.75" customHeight="1">
      <c r="A204" s="66"/>
      <c r="B204" s="24">
        <v>2016</v>
      </c>
      <c r="C204" s="73">
        <v>3514437</v>
      </c>
      <c r="D204" s="75" t="s">
        <v>65</v>
      </c>
      <c r="E204" s="76">
        <f t="shared" si="24"/>
        <v>1.0022262958518091</v>
      </c>
      <c r="F204" s="77">
        <f t="shared" si="23"/>
        <v>3522261.1765145445</v>
      </c>
      <c r="G204" s="72"/>
      <c r="H204" s="72"/>
      <c r="I204" s="72"/>
      <c r="J204" s="72"/>
      <c r="K204" s="72"/>
      <c r="L204" s="72"/>
      <c r="M204" s="72"/>
      <c r="N204" s="72"/>
      <c r="O204" s="72"/>
      <c r="P204" s="72"/>
      <c r="Q204" s="72"/>
      <c r="R204" s="72"/>
    </row>
    <row r="205" spans="1:18" s="41" customFormat="1" ht="12.75" customHeight="1">
      <c r="A205" s="66"/>
      <c r="B205" s="24">
        <v>2017</v>
      </c>
      <c r="C205" s="73">
        <v>3723287</v>
      </c>
      <c r="D205" s="75" t="s">
        <v>65</v>
      </c>
      <c r="E205" s="76">
        <f t="shared" si="24"/>
        <v>1.0022262958518091</v>
      </c>
      <c r="F205" s="77">
        <f t="shared" si="23"/>
        <v>3731576.138403195</v>
      </c>
      <c r="G205" s="72"/>
      <c r="H205" s="72"/>
      <c r="I205" s="72"/>
      <c r="J205" s="72"/>
      <c r="K205" s="72"/>
      <c r="L205" s="72"/>
      <c r="M205" s="72"/>
      <c r="N205" s="72"/>
      <c r="O205" s="72"/>
      <c r="P205" s="72"/>
      <c r="Q205" s="72"/>
      <c r="R205" s="72"/>
    </row>
    <row r="206" spans="1:18" s="41" customFormat="1" ht="12.75" customHeight="1">
      <c r="A206" s="66"/>
      <c r="B206" s="24">
        <v>2018</v>
      </c>
      <c r="C206" s="73">
        <v>3952286</v>
      </c>
      <c r="D206" s="75" t="s">
        <v>65</v>
      </c>
      <c r="E206" s="76">
        <f t="shared" si="24"/>
        <v>1.0022262958518091</v>
      </c>
      <c r="F206" s="77">
        <f t="shared" si="23"/>
        <v>3961084.9579269635</v>
      </c>
      <c r="G206" s="72"/>
      <c r="H206" s="72"/>
      <c r="I206" s="72"/>
      <c r="J206" s="72"/>
      <c r="K206" s="72"/>
      <c r="L206" s="72"/>
      <c r="M206" s="72"/>
      <c r="N206" s="72"/>
      <c r="O206" s="72"/>
      <c r="P206" s="72"/>
      <c r="Q206" s="72"/>
      <c r="R206" s="72"/>
    </row>
    <row r="207" spans="1:18" s="41" customFormat="1" ht="12.75" customHeight="1">
      <c r="A207" s="66"/>
      <c r="B207" s="24">
        <v>2019</v>
      </c>
      <c r="C207" s="73">
        <v>4207271</v>
      </c>
      <c r="D207" s="75" t="s">
        <v>65</v>
      </c>
      <c r="E207" s="76">
        <f t="shared" si="24"/>
        <v>1.0022262958518091</v>
      </c>
      <c r="F207" s="77">
        <f t="shared" si="23"/>
        <v>4216637.6299747368</v>
      </c>
      <c r="G207" s="72"/>
      <c r="H207" s="72"/>
      <c r="I207" s="72"/>
      <c r="J207" s="72"/>
      <c r="K207" s="72"/>
      <c r="L207" s="72"/>
      <c r="M207" s="72"/>
      <c r="N207" s="72"/>
      <c r="O207" s="72"/>
      <c r="P207" s="72"/>
      <c r="Q207" s="72"/>
      <c r="R207" s="72"/>
    </row>
    <row r="208" spans="1:18" s="41" customFormat="1" ht="12.75" customHeight="1">
      <c r="A208" s="66"/>
      <c r="B208" s="24">
        <v>2020</v>
      </c>
      <c r="C208" s="73">
        <v>4487225</v>
      </c>
      <c r="D208" s="75" t="s">
        <v>65</v>
      </c>
      <c r="E208" s="76">
        <f t="shared" si="24"/>
        <v>1.0022262958518091</v>
      </c>
      <c r="F208" s="77">
        <f t="shared" si="23"/>
        <v>4497214.8904036339</v>
      </c>
      <c r="G208" s="72"/>
      <c r="H208" s="72"/>
      <c r="I208" s="72"/>
      <c r="J208" s="72"/>
      <c r="K208" s="72"/>
      <c r="L208" s="72"/>
      <c r="M208" s="72"/>
      <c r="N208" s="72"/>
      <c r="O208" s="72"/>
      <c r="P208" s="72"/>
      <c r="Q208" s="72"/>
      <c r="R208" s="72"/>
    </row>
    <row r="209" spans="1:18" s="41" customFormat="1" ht="12.75" customHeight="1">
      <c r="A209" s="66"/>
      <c r="B209" s="24">
        <v>2021</v>
      </c>
      <c r="C209" s="73">
        <v>4780974</v>
      </c>
      <c r="D209" s="75" t="s">
        <v>65</v>
      </c>
      <c r="E209" s="76">
        <f t="shared" si="24"/>
        <v>1.0022262958518091</v>
      </c>
      <c r="F209" s="77">
        <f t="shared" si="23"/>
        <v>4791617.8625838077</v>
      </c>
      <c r="G209" s="72"/>
      <c r="H209" s="72"/>
      <c r="I209" s="72"/>
      <c r="J209" s="72"/>
      <c r="K209" s="72"/>
      <c r="L209" s="72"/>
      <c r="M209" s="72"/>
      <c r="N209" s="72"/>
      <c r="O209" s="72"/>
      <c r="P209" s="72"/>
      <c r="Q209" s="72"/>
      <c r="R209" s="72"/>
    </row>
    <row r="210" spans="1:18" s="57" customFormat="1" ht="15" customHeight="1">
      <c r="B210" s="26" t="s">
        <v>23</v>
      </c>
      <c r="C210" s="63" t="s">
        <v>84</v>
      </c>
      <c r="D210" s="63" t="s">
        <v>85</v>
      </c>
      <c r="E210" s="27" t="s">
        <v>86</v>
      </c>
      <c r="F210" s="27" t="s">
        <v>87</v>
      </c>
      <c r="G210" s="62"/>
      <c r="H210" s="49"/>
      <c r="I210" s="49"/>
      <c r="J210" s="49"/>
      <c r="K210" s="49"/>
      <c r="L210" s="49"/>
      <c r="M210" s="49"/>
      <c r="N210" s="49"/>
    </row>
    <row r="211" spans="1:18" s="41" customFormat="1" ht="18" customHeight="1">
      <c r="B211" s="39" t="str">
        <f>C210</f>
        <v>[P2a]</v>
      </c>
      <c r="C211" s="40" t="s">
        <v>88</v>
      </c>
      <c r="D211" s="40"/>
      <c r="E211" s="40"/>
      <c r="F211" s="40"/>
      <c r="G211" s="40"/>
      <c r="H211" s="40"/>
      <c r="I211" s="40"/>
      <c r="J211" s="40"/>
      <c r="K211" s="40"/>
      <c r="L211" s="40"/>
      <c r="M211" s="40"/>
      <c r="N211" s="40"/>
      <c r="O211" s="40"/>
      <c r="P211" s="40"/>
      <c r="Q211" s="40"/>
      <c r="R211" s="40"/>
    </row>
    <row r="212" spans="1:18" s="41" customFormat="1" ht="18" customHeight="1">
      <c r="B212" s="39" t="str">
        <f>D210</f>
        <v>[P2b]</v>
      </c>
      <c r="C212" s="40" t="s">
        <v>89</v>
      </c>
      <c r="D212" s="40"/>
      <c r="E212" s="40"/>
      <c r="F212" s="40"/>
      <c r="G212" s="40"/>
      <c r="H212" s="40"/>
      <c r="I212" s="40"/>
      <c r="J212" s="40"/>
      <c r="K212" s="40"/>
      <c r="L212" s="40"/>
      <c r="M212" s="40"/>
      <c r="N212" s="40"/>
      <c r="O212" s="40"/>
      <c r="P212" s="40"/>
      <c r="Q212" s="40"/>
      <c r="R212" s="40"/>
    </row>
    <row r="213" spans="1:18" s="41" customFormat="1" ht="18" customHeight="1">
      <c r="B213" s="39" t="str">
        <f>E210</f>
        <v>[P2c]</v>
      </c>
      <c r="C213" s="40" t="s">
        <v>90</v>
      </c>
      <c r="D213" s="40"/>
      <c r="E213" s="40"/>
      <c r="F213" s="40"/>
      <c r="G213" s="40"/>
      <c r="H213" s="40"/>
      <c r="I213" s="40"/>
      <c r="J213" s="40"/>
      <c r="K213" s="40"/>
      <c r="L213" s="40"/>
      <c r="M213" s="40"/>
      <c r="N213" s="40"/>
      <c r="O213" s="40"/>
      <c r="P213" s="40"/>
      <c r="Q213" s="40"/>
      <c r="R213" s="40"/>
    </row>
    <row r="214" spans="1:18" s="41" customFormat="1" ht="18" customHeight="1">
      <c r="B214" s="78" t="str">
        <f>F210</f>
        <v>[P2d]</v>
      </c>
      <c r="C214" s="40" t="s">
        <v>91</v>
      </c>
      <c r="D214" s="40"/>
      <c r="E214" s="40"/>
      <c r="F214" s="40"/>
      <c r="G214" s="40"/>
      <c r="H214" s="40"/>
      <c r="I214" s="40"/>
      <c r="J214" s="40"/>
      <c r="K214" s="40"/>
      <c r="L214" s="40"/>
      <c r="M214" s="40"/>
      <c r="N214" s="40"/>
      <c r="O214" s="40"/>
      <c r="P214" s="40"/>
      <c r="Q214" s="40"/>
      <c r="R214" s="40"/>
    </row>
    <row r="215" spans="1:18" s="38" customFormat="1" ht="19.5" customHeight="1">
      <c r="A215" s="35" t="s">
        <v>92</v>
      </c>
      <c r="B215" s="43" t="s">
        <v>93</v>
      </c>
      <c r="C215" s="43"/>
      <c r="D215" s="43"/>
      <c r="E215" s="43"/>
      <c r="F215" s="43"/>
      <c r="G215" s="67"/>
      <c r="H215" s="67"/>
      <c r="I215" s="67"/>
      <c r="J215" s="67"/>
      <c r="K215" s="45"/>
      <c r="L215" s="45"/>
      <c r="M215" s="45"/>
      <c r="N215" s="45"/>
      <c r="O215" s="45"/>
      <c r="P215" s="45"/>
      <c r="Q215" s="45"/>
      <c r="R215" s="45"/>
    </row>
    <row r="216" spans="1:18" s="49" customFormat="1" ht="24.75" customHeight="1">
      <c r="A216" s="12"/>
      <c r="B216" s="79" t="s">
        <v>94</v>
      </c>
      <c r="C216" s="28" t="s">
        <v>95</v>
      </c>
      <c r="D216" s="80"/>
      <c r="E216" s="14" t="s">
        <v>96</v>
      </c>
      <c r="F216" s="28" t="s">
        <v>97</v>
      </c>
      <c r="G216" s="30"/>
      <c r="H216" s="48"/>
      <c r="I216" s="48"/>
      <c r="J216" s="48"/>
    </row>
    <row r="217" spans="1:18" s="49" customFormat="1" ht="24" customHeight="1">
      <c r="A217" s="12"/>
      <c r="B217" s="50"/>
      <c r="C217" s="81" t="s">
        <v>98</v>
      </c>
      <c r="D217" s="81" t="s">
        <v>99</v>
      </c>
      <c r="E217" s="18"/>
      <c r="F217" s="81" t="s">
        <v>15</v>
      </c>
      <c r="G217" s="81" t="s">
        <v>19</v>
      </c>
    </row>
    <row r="218" spans="1:18" s="49" customFormat="1" ht="12.75" customHeight="1">
      <c r="A218" s="12"/>
      <c r="B218" s="58">
        <v>2006</v>
      </c>
      <c r="C218" s="82" t="s">
        <v>65</v>
      </c>
      <c r="D218" s="22">
        <f t="shared" ref="D218:D224" si="25">G83</f>
        <v>14615.2</v>
      </c>
      <c r="E218" s="61"/>
      <c r="F218" s="82" t="s">
        <v>66</v>
      </c>
      <c r="G218" s="82" t="s">
        <v>66</v>
      </c>
      <c r="H218" s="83"/>
      <c r="I218" s="83"/>
      <c r="J218" s="83"/>
      <c r="K218"/>
      <c r="L218"/>
      <c r="R218" s="84"/>
    </row>
    <row r="219" spans="1:18" s="49" customFormat="1" ht="12.75" customHeight="1">
      <c r="A219" s="12"/>
      <c r="B219" s="58">
        <v>2007</v>
      </c>
      <c r="C219" s="82" t="s">
        <v>65</v>
      </c>
      <c r="D219" s="22">
        <f t="shared" si="25"/>
        <v>14876.8</v>
      </c>
      <c r="E219" s="85">
        <f t="shared" ref="E219:E224" si="26">D219/D218-1</f>
        <v>1.7899173463243656E-2</v>
      </c>
      <c r="F219" s="82" t="s">
        <v>66</v>
      </c>
      <c r="G219" s="82" t="s">
        <v>66</v>
      </c>
      <c r="H219" s="83"/>
      <c r="I219" s="83"/>
      <c r="J219" s="83"/>
      <c r="K219"/>
      <c r="L219"/>
      <c r="R219" s="84"/>
    </row>
    <row r="220" spans="1:18" s="57" customFormat="1" ht="12.75" customHeight="1">
      <c r="A220" s="12"/>
      <c r="B220" s="58">
        <v>2008</v>
      </c>
      <c r="C220" s="82" t="s">
        <v>65</v>
      </c>
      <c r="D220" s="22">
        <f t="shared" si="25"/>
        <v>14833.6</v>
      </c>
      <c r="E220" s="85">
        <f t="shared" si="26"/>
        <v>-2.9038502903849794E-3</v>
      </c>
      <c r="F220" s="82" t="s">
        <v>66</v>
      </c>
      <c r="G220" s="82" t="s">
        <v>66</v>
      </c>
      <c r="H220" s="83"/>
      <c r="I220" s="83"/>
      <c r="J220" s="83"/>
      <c r="K220"/>
      <c r="L220"/>
      <c r="M220" s="49"/>
      <c r="N220" s="49"/>
      <c r="R220" s="84"/>
    </row>
    <row r="221" spans="1:18" s="57" customFormat="1" ht="12.75" customHeight="1">
      <c r="A221" s="12"/>
      <c r="B221" s="58">
        <v>2009</v>
      </c>
      <c r="C221" s="82" t="s">
        <v>65</v>
      </c>
      <c r="D221" s="22">
        <f t="shared" si="25"/>
        <v>14417.9</v>
      </c>
      <c r="E221" s="85">
        <f t="shared" si="26"/>
        <v>-2.8024215295005983E-2</v>
      </c>
      <c r="F221" s="82" t="s">
        <v>66</v>
      </c>
      <c r="G221" s="82" t="s">
        <v>66</v>
      </c>
      <c r="H221" s="49"/>
      <c r="I221" s="49"/>
      <c r="J221" s="49"/>
      <c r="K221" s="49"/>
      <c r="L221" s="49"/>
      <c r="M221" s="49"/>
      <c r="N221" s="49"/>
      <c r="R221" s="84"/>
    </row>
    <row r="222" spans="1:18" s="57" customFormat="1" ht="12.75" customHeight="1">
      <c r="A222" s="12"/>
      <c r="B222" s="58">
        <v>2010</v>
      </c>
      <c r="C222" s="82" t="s">
        <v>65</v>
      </c>
      <c r="D222" s="22">
        <f t="shared" si="25"/>
        <v>14779.4</v>
      </c>
      <c r="E222" s="85">
        <f t="shared" si="26"/>
        <v>2.5072999535299845E-2</v>
      </c>
      <c r="F222" s="82" t="s">
        <v>66</v>
      </c>
      <c r="G222" s="82" t="s">
        <v>66</v>
      </c>
      <c r="H222" s="49"/>
      <c r="I222" s="49"/>
      <c r="J222" s="49"/>
      <c r="K222" s="49"/>
      <c r="L222" s="49"/>
      <c r="M222" s="49"/>
      <c r="N222" s="49"/>
      <c r="R222" s="84"/>
    </row>
    <row r="223" spans="1:18" s="57" customFormat="1" ht="12.75" customHeight="1">
      <c r="A223" s="12"/>
      <c r="B223" s="58">
        <v>2011</v>
      </c>
      <c r="C223" s="22">
        <v>13299.1</v>
      </c>
      <c r="D223" s="22">
        <f t="shared" si="25"/>
        <v>15052.4</v>
      </c>
      <c r="E223" s="85">
        <f t="shared" si="26"/>
        <v>1.8471656494851052E-2</v>
      </c>
      <c r="F223" s="82" t="s">
        <v>66</v>
      </c>
      <c r="G223" s="82" t="s">
        <v>66</v>
      </c>
      <c r="H223" s="86"/>
      <c r="I223" s="49"/>
      <c r="J223" s="49"/>
      <c r="K223" s="49"/>
      <c r="L223" s="49"/>
      <c r="M223" s="49"/>
      <c r="N223" s="49"/>
      <c r="R223" s="84"/>
    </row>
    <row r="224" spans="1:18" s="57" customFormat="1" ht="12.75" customHeight="1">
      <c r="A224" s="12"/>
      <c r="B224" s="58">
        <v>2012</v>
      </c>
      <c r="C224" s="22">
        <v>13599.3225</v>
      </c>
      <c r="D224" s="22">
        <f t="shared" si="25"/>
        <v>15470.7</v>
      </c>
      <c r="E224" s="85">
        <f t="shared" si="26"/>
        <v>2.7789588371289753E-2</v>
      </c>
      <c r="F224" s="23">
        <f>G89</f>
        <v>15470.7</v>
      </c>
      <c r="G224" s="87">
        <f t="shared" ref="G224:G233" si="27">1000*F224/D89</f>
        <v>49226.162823996587</v>
      </c>
      <c r="H224" s="86"/>
      <c r="I224" s="49"/>
      <c r="J224" s="49"/>
      <c r="K224" s="49"/>
      <c r="L224" s="49"/>
      <c r="M224" s="49"/>
      <c r="N224" s="49"/>
      <c r="R224" s="84"/>
    </row>
    <row r="225" spans="1:18" s="57" customFormat="1" ht="12.75" customHeight="1">
      <c r="A225" s="12"/>
      <c r="B225" s="58">
        <v>2013</v>
      </c>
      <c r="C225" s="22">
        <v>13792.987499999999</v>
      </c>
      <c r="D225" s="82" t="s">
        <v>65</v>
      </c>
      <c r="E225" s="85">
        <f>C225/C224-1</f>
        <v>1.4240782950768249E-2</v>
      </c>
      <c r="F225" s="20">
        <f>F224*(1+E225)</f>
        <v>15691.014880796451</v>
      </c>
      <c r="G225" s="87">
        <f t="shared" si="27"/>
        <v>49586.285716123646</v>
      </c>
      <c r="H225" s="86"/>
      <c r="I225" s="49"/>
      <c r="J225" s="49"/>
      <c r="K225" s="49"/>
      <c r="L225" s="49"/>
      <c r="M225" s="49"/>
      <c r="N225" s="49"/>
      <c r="R225" s="84"/>
    </row>
    <row r="226" spans="1:18" s="57" customFormat="1" ht="12.75" customHeight="1">
      <c r="A226" s="12"/>
      <c r="B226" s="58">
        <v>2014</v>
      </c>
      <c r="C226" s="22">
        <v>14152.505000000001</v>
      </c>
      <c r="D226" s="82" t="s">
        <v>65</v>
      </c>
      <c r="E226" s="85">
        <f t="shared" ref="E226:E233" si="28">C226/C225-1</f>
        <v>2.6065237860905865E-2</v>
      </c>
      <c r="F226" s="20">
        <f t="shared" ref="F226:F233" si="29">F225*(1+E226)</f>
        <v>16100.004915943424</v>
      </c>
      <c r="G226" s="87">
        <f t="shared" si="27"/>
        <v>50487.311427537679</v>
      </c>
      <c r="H226" s="86"/>
      <c r="I226" s="49"/>
      <c r="J226" s="49"/>
      <c r="K226" s="49"/>
      <c r="L226" s="49"/>
      <c r="M226" s="49"/>
      <c r="N226" s="49"/>
      <c r="R226" s="84"/>
    </row>
    <row r="227" spans="1:18" s="57" customFormat="1" ht="12.75" customHeight="1">
      <c r="A227" s="12"/>
      <c r="B227" s="58">
        <v>2015</v>
      </c>
      <c r="C227" s="22">
        <v>14738.334999999999</v>
      </c>
      <c r="D227" s="82" t="s">
        <v>65</v>
      </c>
      <c r="E227" s="85">
        <f t="shared" si="28"/>
        <v>4.1394085358033683E-2</v>
      </c>
      <c r="F227" s="20">
        <f t="shared" si="29"/>
        <v>16766.449893698747</v>
      </c>
      <c r="G227" s="87">
        <f t="shared" si="27"/>
        <v>52172.931836268479</v>
      </c>
      <c r="H227" s="86"/>
      <c r="I227" s="49"/>
      <c r="J227" s="49"/>
      <c r="K227" s="49"/>
      <c r="L227" s="49"/>
      <c r="M227" s="49"/>
      <c r="N227" s="49"/>
    </row>
    <row r="228" spans="1:18" s="57" customFormat="1" ht="12.75" customHeight="1">
      <c r="A228" s="12"/>
      <c r="B228" s="58">
        <v>2016</v>
      </c>
      <c r="C228" s="22">
        <v>15385.4625</v>
      </c>
      <c r="D228" s="82" t="s">
        <v>65</v>
      </c>
      <c r="E228" s="85">
        <f t="shared" si="28"/>
        <v>4.3907775199844457E-2</v>
      </c>
      <c r="F228" s="20">
        <f t="shared" si="29"/>
        <v>17502.62740653073</v>
      </c>
      <c r="G228" s="87">
        <f t="shared" si="27"/>
        <v>54045.642896938793</v>
      </c>
      <c r="H228" s="86"/>
      <c r="I228" s="49"/>
      <c r="J228" s="49"/>
      <c r="K228" s="49"/>
      <c r="L228" s="49"/>
      <c r="M228" s="49"/>
      <c r="N228" s="49"/>
    </row>
    <row r="229" spans="1:18" s="57" customFormat="1" ht="12.75" customHeight="1">
      <c r="A229" s="12"/>
      <c r="B229" s="58">
        <v>2017</v>
      </c>
      <c r="C229" s="22">
        <v>15965.1975</v>
      </c>
      <c r="D229" s="82" t="s">
        <v>65</v>
      </c>
      <c r="E229" s="85">
        <f t="shared" si="28"/>
        <v>3.7680700206444984E-2</v>
      </c>
      <c r="F229" s="20">
        <f t="shared" si="29"/>
        <v>18162.13866266132</v>
      </c>
      <c r="G229" s="87">
        <f t="shared" si="27"/>
        <v>55652.673412005955</v>
      </c>
      <c r="H229" s="86"/>
      <c r="I229" s="49"/>
      <c r="J229" s="49"/>
      <c r="K229" s="49"/>
      <c r="L229" s="49"/>
      <c r="M229" s="49"/>
      <c r="N229" s="49"/>
    </row>
    <row r="230" spans="1:18" s="57" customFormat="1" ht="12.75" customHeight="1">
      <c r="A230" s="12"/>
      <c r="B230" s="58">
        <v>2018</v>
      </c>
      <c r="C230" s="22">
        <v>16376.119999999999</v>
      </c>
      <c r="D230" s="82" t="s">
        <v>65</v>
      </c>
      <c r="E230" s="85">
        <f t="shared" si="28"/>
        <v>2.5738641817615981E-2</v>
      </c>
      <c r="F230" s="20">
        <f t="shared" si="29"/>
        <v>18629.607444341436</v>
      </c>
      <c r="G230" s="87">
        <f t="shared" si="27"/>
        <v>56649.569400503664</v>
      </c>
      <c r="H230" s="86"/>
      <c r="I230" s="49"/>
      <c r="J230" s="49"/>
      <c r="K230" s="49"/>
      <c r="L230" s="49"/>
      <c r="M230" s="49"/>
      <c r="N230" s="49"/>
    </row>
    <row r="231" spans="1:18" s="57" customFormat="1" ht="12.75" customHeight="1">
      <c r="A231" s="12"/>
      <c r="B231" s="58">
        <v>2019</v>
      </c>
      <c r="C231" s="22">
        <v>16767.834999999999</v>
      </c>
      <c r="D231" s="82" t="s">
        <v>65</v>
      </c>
      <c r="E231" s="85">
        <f t="shared" si="28"/>
        <v>2.3919890670073274E-2</v>
      </c>
      <c r="F231" s="20">
        <f t="shared" si="29"/>
        <v>19075.225617636468</v>
      </c>
      <c r="G231" s="87">
        <f t="shared" si="27"/>
        <v>57563.864557182853</v>
      </c>
      <c r="H231" s="86"/>
      <c r="I231" s="49"/>
      <c r="J231" s="49"/>
      <c r="K231" s="49"/>
      <c r="L231" s="49"/>
      <c r="M231" s="49"/>
      <c r="N231" s="49"/>
    </row>
    <row r="232" spans="1:18" s="57" customFormat="1" ht="12.75" customHeight="1">
      <c r="A232" s="62"/>
      <c r="B232" s="58">
        <v>2020</v>
      </c>
      <c r="C232" s="22">
        <v>17150.7075</v>
      </c>
      <c r="D232" s="82" t="s">
        <v>65</v>
      </c>
      <c r="E232" s="85">
        <f t="shared" si="28"/>
        <v>2.2833746873105687E-2</v>
      </c>
      <c r="F232" s="20">
        <f t="shared" si="29"/>
        <v>19510.78449093696</v>
      </c>
      <c r="G232" s="87">
        <f t="shared" si="27"/>
        <v>58433.717357910726</v>
      </c>
      <c r="H232" s="86"/>
      <c r="I232" s="49"/>
      <c r="J232" s="49"/>
      <c r="K232" s="49"/>
      <c r="L232" s="49"/>
      <c r="M232" s="49"/>
      <c r="N232" s="49"/>
    </row>
    <row r="233" spans="1:18" s="57" customFormat="1" ht="12.75" customHeight="1">
      <c r="A233" s="62"/>
      <c r="B233" s="58">
        <v>2021</v>
      </c>
      <c r="C233" s="22">
        <v>17529.8</v>
      </c>
      <c r="D233" s="82" t="s">
        <v>65</v>
      </c>
      <c r="E233" s="85">
        <f t="shared" si="28"/>
        <v>2.2103607096092048E-2</v>
      </c>
      <c r="F233" s="20">
        <f t="shared" si="29"/>
        <v>19942.043205461156</v>
      </c>
      <c r="G233" s="87">
        <f t="shared" si="27"/>
        <v>59277.927344303353</v>
      </c>
      <c r="H233" s="86"/>
      <c r="I233" s="49"/>
      <c r="J233" s="49"/>
      <c r="K233" s="49"/>
      <c r="L233" s="49"/>
      <c r="M233" s="49"/>
      <c r="N233" s="49"/>
    </row>
    <row r="234" spans="1:18" s="57" customFormat="1" ht="15" customHeight="1">
      <c r="B234" s="26" t="s">
        <v>23</v>
      </c>
      <c r="C234" s="63" t="s">
        <v>100</v>
      </c>
      <c r="D234" s="63" t="s">
        <v>101</v>
      </c>
      <c r="E234" s="27" t="s">
        <v>102</v>
      </c>
      <c r="F234" s="27" t="s">
        <v>103</v>
      </c>
      <c r="G234" s="27" t="s">
        <v>104</v>
      </c>
      <c r="H234" s="86"/>
      <c r="J234" s="49"/>
      <c r="K234" s="49"/>
      <c r="L234" s="49"/>
      <c r="M234" s="49"/>
      <c r="N234" s="49"/>
    </row>
    <row r="235" spans="1:18" s="41" customFormat="1" ht="18" customHeight="1">
      <c r="B235" s="39" t="str">
        <f>C234</f>
        <v>[P3a]</v>
      </c>
      <c r="C235" s="40" t="s">
        <v>105</v>
      </c>
      <c r="D235" s="40"/>
      <c r="E235" s="40"/>
      <c r="F235" s="40"/>
      <c r="G235" s="40"/>
      <c r="H235" s="40"/>
      <c r="I235" s="40"/>
      <c r="J235" s="40"/>
      <c r="K235" s="40"/>
      <c r="L235" s="40"/>
      <c r="M235" s="40"/>
      <c r="N235" s="40"/>
      <c r="O235" s="40"/>
      <c r="P235" s="40"/>
      <c r="Q235" s="40"/>
      <c r="R235" s="40"/>
    </row>
    <row r="236" spans="1:18" s="41" customFormat="1" ht="18" customHeight="1">
      <c r="B236" s="39" t="str">
        <f>D234</f>
        <v>[P3b]</v>
      </c>
      <c r="C236" s="40" t="s">
        <v>106</v>
      </c>
      <c r="D236" s="40"/>
      <c r="E236" s="40"/>
      <c r="F236" s="40"/>
      <c r="G236" s="40"/>
      <c r="H236" s="40"/>
      <c r="I236" s="40"/>
      <c r="J236" s="40"/>
      <c r="K236" s="40"/>
      <c r="L236" s="40"/>
      <c r="M236" s="40"/>
      <c r="N236" s="40"/>
      <c r="O236" s="40"/>
      <c r="P236" s="40"/>
      <c r="Q236" s="40"/>
      <c r="R236" s="40"/>
    </row>
    <row r="237" spans="1:18" s="41" customFormat="1" ht="18" customHeight="1">
      <c r="B237" s="39" t="str">
        <f>E234</f>
        <v>[P3c]</v>
      </c>
      <c r="C237" s="40" t="s">
        <v>107</v>
      </c>
      <c r="D237" s="40"/>
      <c r="E237" s="40"/>
      <c r="F237" s="40"/>
      <c r="G237" s="40"/>
      <c r="H237" s="40"/>
      <c r="I237" s="40"/>
      <c r="J237" s="40"/>
      <c r="K237" s="40"/>
      <c r="L237" s="40"/>
      <c r="M237" s="40"/>
      <c r="N237" s="40"/>
      <c r="O237" s="40"/>
      <c r="P237" s="40"/>
      <c r="Q237" s="40"/>
      <c r="R237" s="40"/>
    </row>
    <row r="238" spans="1:18" s="41" customFormat="1" ht="18" customHeight="1">
      <c r="B238" s="39" t="str">
        <f>F234</f>
        <v>[P3d]</v>
      </c>
      <c r="C238" s="40" t="s">
        <v>108</v>
      </c>
      <c r="D238" s="40"/>
      <c r="E238" s="40"/>
      <c r="F238" s="40"/>
      <c r="G238" s="40"/>
      <c r="H238" s="40"/>
      <c r="I238" s="40"/>
      <c r="J238" s="40"/>
      <c r="K238" s="40"/>
      <c r="L238" s="40"/>
      <c r="M238" s="40"/>
      <c r="N238" s="40"/>
      <c r="O238" s="40"/>
      <c r="P238" s="40"/>
      <c r="Q238" s="40"/>
      <c r="R238" s="40"/>
    </row>
    <row r="239" spans="1:18" s="41" customFormat="1" ht="18" customHeight="1">
      <c r="B239" s="39" t="str">
        <f>G234</f>
        <v>[P3e]</v>
      </c>
      <c r="C239" s="40" t="s">
        <v>109</v>
      </c>
      <c r="D239" s="40"/>
      <c r="E239" s="40"/>
      <c r="F239" s="40"/>
      <c r="G239" s="40"/>
      <c r="H239" s="40"/>
      <c r="I239" s="40"/>
      <c r="J239" s="40"/>
      <c r="K239" s="40"/>
      <c r="L239" s="40"/>
      <c r="M239" s="40"/>
      <c r="N239" s="40"/>
      <c r="O239" s="40"/>
      <c r="P239" s="40"/>
      <c r="Q239" s="40"/>
      <c r="R239" s="40"/>
    </row>
    <row r="240" spans="1:18" s="38" customFormat="1" ht="18" customHeight="1">
      <c r="A240" s="43" t="s">
        <v>110</v>
      </c>
      <c r="B240" s="43"/>
      <c r="C240" s="43"/>
      <c r="D240" s="43"/>
      <c r="E240" s="43"/>
      <c r="F240" s="43"/>
      <c r="G240" s="43"/>
      <c r="H240" s="43"/>
      <c r="I240" s="43"/>
      <c r="J240" s="43"/>
      <c r="K240" s="43"/>
      <c r="L240" s="43"/>
      <c r="M240" s="43"/>
      <c r="N240" s="43"/>
      <c r="O240" s="43"/>
      <c r="P240" s="43"/>
      <c r="Q240" s="43"/>
      <c r="R240" s="43"/>
    </row>
    <row r="241" spans="1:18" s="89" customFormat="1" ht="24.75" customHeight="1">
      <c r="A241" s="39" t="s">
        <v>111</v>
      </c>
      <c r="B241" s="88" t="s">
        <v>112</v>
      </c>
      <c r="C241" s="88"/>
      <c r="D241" s="88"/>
      <c r="E241" s="88"/>
      <c r="F241" s="88"/>
      <c r="G241" s="88"/>
      <c r="H241" s="88"/>
      <c r="I241" s="88"/>
      <c r="J241" s="88"/>
      <c r="K241" s="88"/>
      <c r="L241" s="88"/>
      <c r="M241" s="88"/>
      <c r="N241" s="88"/>
      <c r="O241" s="88"/>
      <c r="P241" s="88"/>
      <c r="Q241" s="88"/>
      <c r="R241" s="88"/>
    </row>
    <row r="242" spans="1:18" s="89" customFormat="1" ht="24.75" customHeight="1">
      <c r="A242" s="39" t="s">
        <v>113</v>
      </c>
      <c r="B242" s="88" t="s">
        <v>114</v>
      </c>
      <c r="C242" s="88"/>
      <c r="D242" s="88"/>
      <c r="E242" s="88"/>
      <c r="F242" s="88"/>
      <c r="G242" s="88"/>
      <c r="H242" s="88"/>
      <c r="I242" s="88"/>
      <c r="J242" s="88"/>
      <c r="K242" s="88"/>
      <c r="L242" s="88"/>
      <c r="M242" s="88"/>
      <c r="N242" s="88"/>
      <c r="O242" s="88"/>
      <c r="P242" s="88"/>
      <c r="Q242" s="88"/>
      <c r="R242" s="88"/>
    </row>
    <row r="243" spans="1:18" s="89" customFormat="1" ht="36" customHeight="1">
      <c r="A243" s="39" t="s">
        <v>115</v>
      </c>
      <c r="B243" s="88" t="s">
        <v>116</v>
      </c>
      <c r="C243" s="88"/>
      <c r="D243" s="88"/>
      <c r="E243" s="88"/>
      <c r="F243" s="88"/>
      <c r="G243" s="88"/>
      <c r="H243" s="88"/>
      <c r="I243" s="88"/>
      <c r="J243" s="88"/>
      <c r="K243" s="88"/>
      <c r="L243" s="88"/>
      <c r="M243" s="88"/>
      <c r="N243" s="88"/>
      <c r="O243" s="88"/>
      <c r="P243" s="88"/>
      <c r="Q243" s="88"/>
      <c r="R243" s="88"/>
    </row>
    <row r="244" spans="1:18" s="89" customFormat="1" ht="24.75" customHeight="1">
      <c r="A244" s="39" t="s">
        <v>117</v>
      </c>
      <c r="B244" s="88" t="s">
        <v>118</v>
      </c>
      <c r="C244" s="88"/>
      <c r="D244" s="88"/>
      <c r="E244" s="88"/>
      <c r="F244" s="88"/>
      <c r="G244" s="88"/>
      <c r="H244" s="88"/>
      <c r="I244" s="88"/>
      <c r="J244" s="88"/>
      <c r="K244" s="88"/>
      <c r="L244" s="88"/>
      <c r="M244" s="88"/>
      <c r="N244" s="88"/>
      <c r="O244" s="88"/>
      <c r="P244" s="88"/>
      <c r="Q244" s="88"/>
      <c r="R244" s="88"/>
    </row>
    <row r="245" spans="1:18" s="89" customFormat="1" ht="36" customHeight="1">
      <c r="A245" s="39" t="s">
        <v>119</v>
      </c>
      <c r="B245" s="88" t="s">
        <v>120</v>
      </c>
      <c r="C245" s="88"/>
      <c r="D245" s="88"/>
      <c r="E245" s="88"/>
      <c r="F245" s="88"/>
      <c r="G245" s="88"/>
      <c r="H245" s="88"/>
      <c r="I245" s="88"/>
      <c r="J245" s="88"/>
      <c r="K245" s="88"/>
      <c r="L245" s="88"/>
      <c r="M245" s="88"/>
      <c r="N245" s="88"/>
      <c r="O245" s="88"/>
      <c r="P245" s="88"/>
      <c r="Q245" s="88"/>
      <c r="R245" s="88"/>
    </row>
    <row r="246" spans="1:18" s="89" customFormat="1" ht="24.75" customHeight="1">
      <c r="A246" s="39" t="s">
        <v>121</v>
      </c>
      <c r="B246" s="88" t="s">
        <v>122</v>
      </c>
      <c r="C246" s="88"/>
      <c r="D246" s="88"/>
      <c r="E246" s="88"/>
      <c r="F246" s="88"/>
      <c r="G246" s="88"/>
      <c r="H246" s="88"/>
      <c r="I246" s="88"/>
      <c r="J246" s="88"/>
      <c r="K246" s="88"/>
      <c r="L246" s="88"/>
      <c r="M246" s="88"/>
      <c r="N246" s="88"/>
      <c r="O246" s="88"/>
      <c r="P246" s="88"/>
      <c r="Q246" s="88"/>
      <c r="R246" s="88"/>
    </row>
    <row r="247" spans="1:18" s="89" customFormat="1" ht="24.75" customHeight="1">
      <c r="A247" s="39" t="s">
        <v>123</v>
      </c>
      <c r="B247" s="88" t="s">
        <v>124</v>
      </c>
      <c r="C247" s="88"/>
      <c r="D247" s="88"/>
      <c r="E247" s="88"/>
      <c r="F247" s="88"/>
      <c r="G247" s="88"/>
      <c r="H247" s="88"/>
      <c r="I247" s="88"/>
      <c r="J247" s="88"/>
      <c r="K247" s="88"/>
      <c r="L247" s="88"/>
      <c r="M247" s="88"/>
      <c r="N247" s="88"/>
      <c r="O247" s="88"/>
      <c r="P247" s="88"/>
      <c r="Q247" s="88"/>
      <c r="R247" s="88"/>
    </row>
    <row r="248" spans="1:18" s="89" customFormat="1" ht="36" customHeight="1">
      <c r="A248" s="39" t="s">
        <v>125</v>
      </c>
      <c r="B248" s="88" t="s">
        <v>126</v>
      </c>
      <c r="C248" s="88"/>
      <c r="D248" s="88"/>
      <c r="E248" s="88"/>
      <c r="F248" s="88"/>
      <c r="G248" s="88"/>
      <c r="H248" s="88"/>
      <c r="I248" s="88"/>
      <c r="J248" s="88"/>
      <c r="K248" s="88"/>
      <c r="L248" s="88"/>
      <c r="M248" s="88"/>
      <c r="N248" s="88"/>
      <c r="O248" s="88"/>
      <c r="P248" s="88"/>
      <c r="Q248" s="88"/>
      <c r="R248" s="88"/>
    </row>
    <row r="249" spans="1:18" s="89" customFormat="1" ht="36" customHeight="1">
      <c r="A249" s="39" t="s">
        <v>127</v>
      </c>
      <c r="B249" s="88" t="s">
        <v>128</v>
      </c>
      <c r="C249" s="88"/>
      <c r="D249" s="88"/>
      <c r="E249" s="88"/>
      <c r="F249" s="88"/>
      <c r="G249" s="88"/>
      <c r="H249" s="88"/>
      <c r="I249" s="88"/>
      <c r="J249" s="88"/>
      <c r="K249" s="88"/>
      <c r="L249" s="88"/>
      <c r="M249" s="88"/>
      <c r="N249" s="88"/>
      <c r="O249" s="88"/>
      <c r="P249" s="88"/>
      <c r="Q249" s="88"/>
      <c r="R249" s="88"/>
    </row>
    <row r="250" spans="1:18" s="89" customFormat="1" ht="36" customHeight="1">
      <c r="A250" s="39" t="s">
        <v>129</v>
      </c>
      <c r="B250" s="88" t="s">
        <v>130</v>
      </c>
      <c r="C250" s="88"/>
      <c r="D250" s="88"/>
      <c r="E250" s="88"/>
      <c r="F250" s="88"/>
      <c r="G250" s="88"/>
      <c r="H250" s="88"/>
      <c r="I250" s="88"/>
      <c r="J250" s="88"/>
      <c r="K250" s="88"/>
      <c r="L250" s="88"/>
      <c r="M250" s="88"/>
      <c r="N250" s="88"/>
      <c r="O250" s="88"/>
      <c r="P250" s="88"/>
      <c r="Q250" s="88"/>
      <c r="R250" s="88"/>
    </row>
    <row r="251" spans="1:18" s="89" customFormat="1" ht="36" customHeight="1">
      <c r="A251" s="39" t="s">
        <v>131</v>
      </c>
      <c r="B251" s="88" t="s">
        <v>132</v>
      </c>
      <c r="C251" s="88"/>
      <c r="D251" s="88"/>
      <c r="E251" s="88"/>
      <c r="F251" s="88"/>
      <c r="G251" s="88"/>
      <c r="H251" s="88"/>
      <c r="I251" s="88"/>
      <c r="J251" s="88"/>
      <c r="K251" s="88"/>
      <c r="L251" s="88"/>
      <c r="M251" s="88"/>
      <c r="N251" s="88"/>
      <c r="O251" s="88"/>
      <c r="P251" s="88"/>
      <c r="Q251" s="88"/>
      <c r="R251" s="88"/>
    </row>
    <row r="252" spans="1:18" s="89" customFormat="1" ht="36" customHeight="1">
      <c r="A252" s="39" t="s">
        <v>133</v>
      </c>
      <c r="B252" s="88" t="s">
        <v>134</v>
      </c>
      <c r="C252" s="88"/>
      <c r="D252" s="88"/>
      <c r="E252" s="88"/>
      <c r="F252" s="88"/>
      <c r="G252" s="88"/>
      <c r="H252" s="88"/>
      <c r="I252" s="88"/>
      <c r="J252" s="88"/>
      <c r="K252" s="88"/>
      <c r="L252" s="88"/>
      <c r="M252" s="88"/>
      <c r="N252" s="88"/>
      <c r="O252" s="88"/>
      <c r="P252" s="88"/>
      <c r="Q252" s="88"/>
      <c r="R252" s="88"/>
    </row>
    <row r="253" spans="1:18" s="89" customFormat="1" ht="48" customHeight="1">
      <c r="A253" s="39" t="s">
        <v>135</v>
      </c>
      <c r="B253" s="90" t="s">
        <v>136</v>
      </c>
      <c r="C253" s="88"/>
      <c r="D253" s="88"/>
      <c r="E253" s="88"/>
      <c r="F253" s="88"/>
      <c r="G253" s="88"/>
      <c r="H253" s="88"/>
      <c r="I253" s="88"/>
      <c r="J253" s="88"/>
      <c r="K253" s="88"/>
      <c r="L253" s="88"/>
      <c r="M253" s="88"/>
      <c r="N253" s="88"/>
      <c r="O253" s="88"/>
      <c r="P253" s="88"/>
      <c r="Q253" s="88"/>
      <c r="R253" s="88"/>
    </row>
    <row r="254" spans="1:18" s="89" customFormat="1" ht="18" customHeight="1">
      <c r="A254" s="39" t="s">
        <v>137</v>
      </c>
      <c r="B254" s="88" t="s">
        <v>138</v>
      </c>
      <c r="C254" s="88"/>
      <c r="D254" s="88"/>
      <c r="E254" s="88"/>
      <c r="F254" s="88"/>
      <c r="G254" s="88"/>
      <c r="H254" s="88"/>
      <c r="I254" s="88"/>
      <c r="J254" s="88"/>
      <c r="K254" s="88"/>
      <c r="L254" s="88"/>
      <c r="M254" s="88"/>
      <c r="N254" s="88"/>
      <c r="O254" s="88"/>
      <c r="P254" s="88"/>
      <c r="Q254" s="88"/>
      <c r="R254" s="88"/>
    </row>
    <row r="255" spans="1:18" ht="20.25" customHeight="1">
      <c r="A255" s="91" t="s">
        <v>139</v>
      </c>
      <c r="B255" s="91"/>
      <c r="C255" s="91"/>
      <c r="D255" s="91"/>
      <c r="E255" s="91"/>
      <c r="F255" s="91"/>
      <c r="G255" s="91"/>
      <c r="H255" s="91"/>
      <c r="I255" s="91"/>
      <c r="J255" s="91"/>
      <c r="K255" s="91"/>
      <c r="L255" s="91"/>
      <c r="M255" s="91"/>
      <c r="N255" s="91"/>
      <c r="O255" s="91"/>
      <c r="P255" s="91"/>
      <c r="Q255" s="91"/>
      <c r="R255" s="91"/>
    </row>
  </sheetData>
  <mergeCells count="101">
    <mergeCell ref="B253:R253"/>
    <mergeCell ref="B254:R254"/>
    <mergeCell ref="A255:R255"/>
    <mergeCell ref="B247:R247"/>
    <mergeCell ref="B248:R248"/>
    <mergeCell ref="B249:R249"/>
    <mergeCell ref="B250:R250"/>
    <mergeCell ref="B251:R251"/>
    <mergeCell ref="B252:R252"/>
    <mergeCell ref="B241:R241"/>
    <mergeCell ref="B242:R242"/>
    <mergeCell ref="B243:R243"/>
    <mergeCell ref="B244:R244"/>
    <mergeCell ref="B245:R245"/>
    <mergeCell ref="B246:R246"/>
    <mergeCell ref="C235:R235"/>
    <mergeCell ref="C236:R236"/>
    <mergeCell ref="C237:R237"/>
    <mergeCell ref="C238:R238"/>
    <mergeCell ref="C239:R239"/>
    <mergeCell ref="A240:R240"/>
    <mergeCell ref="C211:R211"/>
    <mergeCell ref="C212:R212"/>
    <mergeCell ref="C213:R213"/>
    <mergeCell ref="C214:R214"/>
    <mergeCell ref="B215:J215"/>
    <mergeCell ref="A216:A231"/>
    <mergeCell ref="B216:B217"/>
    <mergeCell ref="C216:D216"/>
    <mergeCell ref="E216:E217"/>
    <mergeCell ref="F216:G216"/>
    <mergeCell ref="C153:R153"/>
    <mergeCell ref="C154:R154"/>
    <mergeCell ref="B155:J155"/>
    <mergeCell ref="B156:B157"/>
    <mergeCell ref="C156:D156"/>
    <mergeCell ref="E156:E157"/>
    <mergeCell ref="F156:F157"/>
    <mergeCell ref="G156:H156"/>
    <mergeCell ref="I156:I157"/>
    <mergeCell ref="J156:J157"/>
    <mergeCell ref="I117:I118"/>
    <mergeCell ref="J117:J118"/>
    <mergeCell ref="C149:R149"/>
    <mergeCell ref="C150:Q150"/>
    <mergeCell ref="C151:Q151"/>
    <mergeCell ref="C152:R152"/>
    <mergeCell ref="B113:R113"/>
    <mergeCell ref="B114:R114"/>
    <mergeCell ref="A115:P115"/>
    <mergeCell ref="B116:J116"/>
    <mergeCell ref="A117:A144"/>
    <mergeCell ref="B117:B118"/>
    <mergeCell ref="C117:D117"/>
    <mergeCell ref="E117:E118"/>
    <mergeCell ref="F117:F118"/>
    <mergeCell ref="G117:H117"/>
    <mergeCell ref="B107:R107"/>
    <mergeCell ref="B108:P108"/>
    <mergeCell ref="B109:P109"/>
    <mergeCell ref="B110:P110"/>
    <mergeCell ref="B111:P111"/>
    <mergeCell ref="B112:R112"/>
    <mergeCell ref="B100:F100"/>
    <mergeCell ref="B101:R101"/>
    <mergeCell ref="B103:R103"/>
    <mergeCell ref="B104:R104"/>
    <mergeCell ref="B105:R105"/>
    <mergeCell ref="B106:R106"/>
    <mergeCell ref="R4:R5"/>
    <mergeCell ref="I99:J99"/>
    <mergeCell ref="K99:L99"/>
    <mergeCell ref="M99:N99"/>
    <mergeCell ref="O99:P99"/>
    <mergeCell ref="Q99:R99"/>
    <mergeCell ref="L4:L5"/>
    <mergeCell ref="M4:M5"/>
    <mergeCell ref="N4:N5"/>
    <mergeCell ref="O4:O5"/>
    <mergeCell ref="P4:P5"/>
    <mergeCell ref="Q4:Q5"/>
    <mergeCell ref="Q3:R3"/>
    <mergeCell ref="C4:C5"/>
    <mergeCell ref="D4:D5"/>
    <mergeCell ref="E4:E5"/>
    <mergeCell ref="F4:F5"/>
    <mergeCell ref="G4:G5"/>
    <mergeCell ref="H4:H5"/>
    <mergeCell ref="I4:I5"/>
    <mergeCell ref="J4:J5"/>
    <mergeCell ref="K4:K5"/>
    <mergeCell ref="A1:R1"/>
    <mergeCell ref="A2:A5"/>
    <mergeCell ref="B2:B5"/>
    <mergeCell ref="C2:D3"/>
    <mergeCell ref="E2:F3"/>
    <mergeCell ref="G2:H3"/>
    <mergeCell ref="I2:J3"/>
    <mergeCell ref="K2:R2"/>
    <mergeCell ref="K3:N3"/>
    <mergeCell ref="O3:P3"/>
  </mergeCells>
  <printOptions horizontalCentered="1"/>
  <pageMargins left="0.7" right="0.37" top="0.75" bottom="0.75" header="0.3" footer="0.3"/>
  <pageSetup scale="76" fitToHeight="7" orientation="portrait" r:id="rId1"/>
  <rowBreaks count="1" manualBreakCount="1">
    <brk id="239" max="17"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0"/>
  <sheetViews>
    <sheetView view="pageBreakPreview" topLeftCell="A276" zoomScale="150" zoomScaleNormal="100" zoomScaleSheetLayoutView="150" workbookViewId="0">
      <selection activeCell="L9" sqref="L9"/>
    </sheetView>
  </sheetViews>
  <sheetFormatPr defaultRowHeight="30" customHeight="1"/>
  <cols>
    <col min="1" max="1" width="6.7109375" customWidth="1"/>
    <col min="2" max="2" width="8.140625" customWidth="1"/>
    <col min="3" max="4" width="7.7109375" customWidth="1"/>
    <col min="5" max="5" width="8.140625" customWidth="1"/>
    <col min="6" max="10" width="7.7109375" customWidth="1"/>
    <col min="11" max="11" width="8.7109375" customWidth="1"/>
    <col min="12" max="13" width="7.7109375" customWidth="1"/>
    <col min="14" max="15" width="6.7109375" customWidth="1"/>
    <col min="16" max="16" width="8.7109375" customWidth="1"/>
  </cols>
  <sheetData>
    <row r="1" spans="1:17" s="251" customFormat="1" ht="18" customHeight="1">
      <c r="A1" s="92" t="s">
        <v>451</v>
      </c>
      <c r="B1" s="92"/>
      <c r="C1" s="92"/>
      <c r="D1" s="92"/>
      <c r="E1" s="92"/>
      <c r="F1" s="92"/>
      <c r="G1" s="92"/>
      <c r="H1" s="92"/>
      <c r="I1" s="92"/>
      <c r="J1" s="92"/>
      <c r="K1" s="92"/>
      <c r="L1" s="92"/>
      <c r="M1" s="92"/>
      <c r="N1" s="92"/>
      <c r="O1" s="92"/>
      <c r="P1" s="92"/>
    </row>
    <row r="2" spans="1:17" ht="18" customHeight="1" thickBot="1">
      <c r="A2" s="169" t="s">
        <v>428</v>
      </c>
      <c r="B2" s="169"/>
      <c r="C2" s="169"/>
      <c r="D2" s="169"/>
      <c r="E2" s="169"/>
      <c r="F2" s="169"/>
      <c r="G2" s="169"/>
      <c r="H2" s="169"/>
      <c r="I2" s="169"/>
      <c r="J2" s="169"/>
      <c r="K2" s="169"/>
      <c r="L2" s="169"/>
      <c r="M2" s="169"/>
      <c r="N2" s="169"/>
      <c r="O2" s="169"/>
      <c r="P2" s="169"/>
    </row>
    <row r="3" spans="1:17" ht="18" customHeight="1" thickTop="1">
      <c r="A3" s="2" t="s">
        <v>1</v>
      </c>
      <c r="B3" s="3" t="s">
        <v>452</v>
      </c>
      <c r="C3" s="5" t="s">
        <v>453</v>
      </c>
      <c r="D3" s="252"/>
      <c r="E3" s="252"/>
      <c r="F3" s="5" t="s">
        <v>454</v>
      </c>
      <c r="G3" s="6"/>
      <c r="H3" s="6"/>
      <c r="I3" s="6"/>
      <c r="J3" s="6"/>
      <c r="K3" s="6"/>
      <c r="L3" s="6"/>
      <c r="M3" s="6"/>
      <c r="N3" s="5" t="s">
        <v>455</v>
      </c>
      <c r="O3" s="6"/>
      <c r="P3" s="6"/>
      <c r="Q3" s="93"/>
    </row>
    <row r="4" spans="1:17" ht="24.75" customHeight="1">
      <c r="A4" s="7"/>
      <c r="B4" s="8"/>
      <c r="C4" s="15" t="s">
        <v>456</v>
      </c>
      <c r="D4" s="15" t="s">
        <v>457</v>
      </c>
      <c r="E4" s="15" t="s">
        <v>458</v>
      </c>
      <c r="F4" s="28" t="s">
        <v>438</v>
      </c>
      <c r="G4" s="250"/>
      <c r="H4" s="28" t="s">
        <v>459</v>
      </c>
      <c r="I4" s="30"/>
      <c r="J4" s="250"/>
      <c r="K4" s="28" t="s">
        <v>460</v>
      </c>
      <c r="L4" s="30"/>
      <c r="M4" s="30"/>
      <c r="N4" s="11" t="s">
        <v>456</v>
      </c>
      <c r="O4" s="11" t="s">
        <v>457</v>
      </c>
      <c r="P4" s="11" t="s">
        <v>458</v>
      </c>
      <c r="Q4" s="93"/>
    </row>
    <row r="5" spans="1:17" ht="24.75" customHeight="1">
      <c r="A5" s="7"/>
      <c r="B5" s="8"/>
      <c r="C5" s="8"/>
      <c r="D5" s="8"/>
      <c r="E5" s="8"/>
      <c r="F5" s="15" t="s">
        <v>148</v>
      </c>
      <c r="G5" s="15" t="s">
        <v>461</v>
      </c>
      <c r="H5" s="15" t="s">
        <v>462</v>
      </c>
      <c r="I5" s="15" t="s">
        <v>463</v>
      </c>
      <c r="J5" s="14" t="s">
        <v>461</v>
      </c>
      <c r="K5" s="15" t="s">
        <v>464</v>
      </c>
      <c r="L5" s="15" t="s">
        <v>465</v>
      </c>
      <c r="M5" s="14" t="s">
        <v>463</v>
      </c>
      <c r="N5" s="8"/>
      <c r="O5" s="8"/>
      <c r="P5" s="8"/>
      <c r="Q5" s="93"/>
    </row>
    <row r="6" spans="1:17" ht="60" customHeight="1">
      <c r="A6" s="16" t="s">
        <v>22</v>
      </c>
      <c r="B6" s="17"/>
      <c r="C6" s="17"/>
      <c r="D6" s="17"/>
      <c r="E6" s="17"/>
      <c r="F6" s="17"/>
      <c r="G6" s="17"/>
      <c r="H6" s="17"/>
      <c r="I6" s="17"/>
      <c r="J6" s="117"/>
      <c r="K6" s="17"/>
      <c r="L6" s="17"/>
      <c r="M6" s="18"/>
      <c r="N6" s="17"/>
      <c r="O6" s="17"/>
      <c r="P6" s="17"/>
      <c r="Q6" s="93"/>
    </row>
    <row r="7" spans="1:17" ht="12.75" customHeight="1">
      <c r="A7" s="58">
        <v>1929</v>
      </c>
      <c r="B7" s="22">
        <v>104.6</v>
      </c>
      <c r="C7" s="140">
        <v>2.9</v>
      </c>
      <c r="D7" s="140">
        <v>3.8</v>
      </c>
      <c r="E7" s="253">
        <f>F204</f>
        <v>98.896569242133765</v>
      </c>
      <c r="F7" s="140">
        <v>7.8</v>
      </c>
      <c r="G7" s="140">
        <f>F7-I7</f>
        <v>7.7</v>
      </c>
      <c r="H7" s="140">
        <v>7.2</v>
      </c>
      <c r="I7" s="140">
        <v>0.1</v>
      </c>
      <c r="J7" s="254">
        <f>H7-I7</f>
        <v>7.1000000000000005</v>
      </c>
      <c r="K7" s="253">
        <f>SUM(L7,'Table 1.3.1.1'!G7,'Table 1.3.1.1'!H7)</f>
        <v>352.60445438363348</v>
      </c>
      <c r="L7" s="253">
        <f t="shared" ref="L7:L37" si="0">J204</f>
        <v>337.75070154324044</v>
      </c>
      <c r="M7" s="255">
        <f>'Table 1.3.1.1'!F7</f>
        <v>14.853752840393021</v>
      </c>
      <c r="N7" s="140">
        <f>C7+G7</f>
        <v>10.6</v>
      </c>
      <c r="O7" s="140">
        <f>D7+J7</f>
        <v>10.9</v>
      </c>
      <c r="P7" s="256">
        <f>E7+L7</f>
        <v>436.64727078537419</v>
      </c>
      <c r="Q7" s="93"/>
    </row>
    <row r="8" spans="1:17" ht="12.75" customHeight="1">
      <c r="A8" s="58">
        <v>1930</v>
      </c>
      <c r="B8" s="22">
        <v>92.2</v>
      </c>
      <c r="C8" s="140">
        <v>3.0999999999999996</v>
      </c>
      <c r="D8" s="140">
        <v>3</v>
      </c>
      <c r="E8" s="253">
        <f t="shared" ref="E8:E37" si="1">F205</f>
        <v>98.330531470130111</v>
      </c>
      <c r="F8" s="140">
        <v>8.4</v>
      </c>
      <c r="G8" s="140">
        <f t="shared" ref="G8:G71" si="2">F8-I8</f>
        <v>8.3000000000000007</v>
      </c>
      <c r="H8" s="140">
        <v>7.4</v>
      </c>
      <c r="I8" s="140">
        <v>0.1</v>
      </c>
      <c r="J8" s="254">
        <f t="shared" ref="J8:J71" si="3">H8-I8</f>
        <v>7.3000000000000007</v>
      </c>
      <c r="K8" s="253">
        <f>SUM(L8,'Table 1.3.1.1'!G8,'Table 1.3.1.1'!H8)</f>
        <v>357.07517481213631</v>
      </c>
      <c r="L8" s="253">
        <f t="shared" si="0"/>
        <v>342.0330891942134</v>
      </c>
      <c r="M8" s="255">
        <f>'Table 1.3.1.1'!F8</f>
        <v>15.042085617922899</v>
      </c>
      <c r="N8" s="140">
        <f>C8+G8</f>
        <v>11.4</v>
      </c>
      <c r="O8" s="140">
        <f>D8+J8</f>
        <v>10.3</v>
      </c>
      <c r="P8" s="253">
        <f>E8+L8</f>
        <v>440.3636206643435</v>
      </c>
      <c r="Q8" s="93"/>
    </row>
    <row r="9" spans="1:17" ht="12.75" customHeight="1">
      <c r="A9" s="58">
        <v>1931</v>
      </c>
      <c r="B9" s="22">
        <v>77.400000000000006</v>
      </c>
      <c r="C9" s="140">
        <v>4.5</v>
      </c>
      <c r="D9" s="140">
        <v>2</v>
      </c>
      <c r="E9" s="253">
        <f t="shared" si="1"/>
        <v>97.914218889686936</v>
      </c>
      <c r="F9" s="140">
        <v>8.4</v>
      </c>
      <c r="G9" s="140">
        <f t="shared" si="2"/>
        <v>8.1</v>
      </c>
      <c r="H9" s="140">
        <v>7.3</v>
      </c>
      <c r="I9" s="140">
        <v>0.3</v>
      </c>
      <c r="J9" s="254">
        <f t="shared" si="3"/>
        <v>7</v>
      </c>
      <c r="K9" s="253">
        <f>SUM(L9,'Table 1.3.1.1'!G9,'Table 1.3.1.1'!H9)</f>
        <v>364.13900983145254</v>
      </c>
      <c r="L9" s="253">
        <f t="shared" si="0"/>
        <v>348.79935434968422</v>
      </c>
      <c r="M9" s="255">
        <f>'Table 1.3.1.1'!F9</f>
        <v>15.339655481768347</v>
      </c>
      <c r="N9" s="140">
        <f>C9+G9</f>
        <v>12.6</v>
      </c>
      <c r="O9" s="140">
        <f>D9+J9</f>
        <v>9</v>
      </c>
      <c r="P9" s="253">
        <f>E9+L9</f>
        <v>446.71357323937116</v>
      </c>
      <c r="Q9" s="93"/>
    </row>
    <row r="10" spans="1:17" ht="12.75" customHeight="1">
      <c r="A10" s="58">
        <v>1932</v>
      </c>
      <c r="B10" s="22">
        <v>59.5</v>
      </c>
      <c r="C10" s="140">
        <v>3.5</v>
      </c>
      <c r="D10" s="140">
        <v>1.7</v>
      </c>
      <c r="E10" s="253">
        <f t="shared" si="1"/>
        <v>97.630657359086797</v>
      </c>
      <c r="F10" s="140">
        <v>7.5</v>
      </c>
      <c r="G10" s="140">
        <f t="shared" si="2"/>
        <v>7.4</v>
      </c>
      <c r="H10" s="140">
        <v>6.9</v>
      </c>
      <c r="I10" s="140">
        <v>0.1</v>
      </c>
      <c r="J10" s="254">
        <f t="shared" si="3"/>
        <v>6.8000000000000007</v>
      </c>
      <c r="K10" s="253">
        <f>SUM(L10,'Table 1.3.1.1'!G10,'Table 1.3.1.1'!H10)</f>
        <v>373.70295112542135</v>
      </c>
      <c r="L10" s="253">
        <f t="shared" si="0"/>
        <v>357.96040674535772</v>
      </c>
      <c r="M10" s="255">
        <f>'Table 1.3.1.1'!F10</f>
        <v>15.742544380063658</v>
      </c>
      <c r="N10" s="140">
        <f>C10+G10</f>
        <v>10.9</v>
      </c>
      <c r="O10" s="140">
        <f>D10+J10</f>
        <v>8.5</v>
      </c>
      <c r="P10" s="253">
        <f>E10+L10</f>
        <v>455.59106410444451</v>
      </c>
      <c r="Q10" s="93"/>
    </row>
    <row r="11" spans="1:17" ht="12.75" customHeight="1">
      <c r="A11" s="58">
        <v>1933</v>
      </c>
      <c r="B11" s="22">
        <v>57.2</v>
      </c>
      <c r="C11" s="140">
        <v>4.2</v>
      </c>
      <c r="D11" s="140">
        <v>2.6</v>
      </c>
      <c r="E11" s="253">
        <f t="shared" si="1"/>
        <v>97.464872720878844</v>
      </c>
      <c r="F11" s="140">
        <v>7.2</v>
      </c>
      <c r="G11" s="140">
        <f t="shared" si="2"/>
        <v>6.7</v>
      </c>
      <c r="H11" s="140">
        <v>6.8</v>
      </c>
      <c r="I11" s="140">
        <v>0.5</v>
      </c>
      <c r="J11" s="254">
        <f t="shared" si="3"/>
        <v>6.3</v>
      </c>
      <c r="K11" s="253">
        <f>SUM(L11,'Table 1.3.1.1'!G11,'Table 1.3.1.1'!H11)</f>
        <v>385.69930854186316</v>
      </c>
      <c r="L11" s="253">
        <f t="shared" si="0"/>
        <v>369.45140773242503</v>
      </c>
      <c r="M11" s="255">
        <f>'Table 1.3.1.1'!F11</f>
        <v>16.247900809438114</v>
      </c>
      <c r="N11" s="140">
        <f>C11+G11</f>
        <v>10.9</v>
      </c>
      <c r="O11" s="140">
        <f>D11+J11</f>
        <v>8.9</v>
      </c>
      <c r="P11" s="253">
        <f>E11+L11</f>
        <v>466.9162804533039</v>
      </c>
      <c r="Q11" s="93"/>
    </row>
    <row r="12" spans="1:17" ht="12.75" customHeight="1">
      <c r="A12" s="58">
        <v>1934</v>
      </c>
      <c r="B12" s="22">
        <v>66.8</v>
      </c>
      <c r="C12" s="140">
        <v>6.5000000000000009</v>
      </c>
      <c r="D12" s="140">
        <v>3.5</v>
      </c>
      <c r="E12" s="253">
        <f t="shared" si="1"/>
        <v>97.403655743048063</v>
      </c>
      <c r="F12" s="140">
        <v>8</v>
      </c>
      <c r="G12" s="140">
        <f t="shared" si="2"/>
        <v>6.4</v>
      </c>
      <c r="H12" s="140">
        <v>8.1999999999999993</v>
      </c>
      <c r="I12" s="140">
        <v>1.6</v>
      </c>
      <c r="J12" s="254">
        <f t="shared" si="3"/>
        <v>6.6</v>
      </c>
      <c r="K12" s="253">
        <f>SUM(L12,'Table 1.3.1.1'!G12,'Table 1.3.1.1'!H12)</f>
        <v>400.08371098645722</v>
      </c>
      <c r="L12" s="253">
        <f t="shared" si="0"/>
        <v>383.2298553854319</v>
      </c>
      <c r="M12" s="255">
        <f>'Table 1.3.1.1'!F12</f>
        <v>16.853855601025295</v>
      </c>
      <c r="N12" s="140">
        <f>C12+G12</f>
        <v>12.900000000000002</v>
      </c>
      <c r="O12" s="140">
        <f>D12+J12</f>
        <v>10.1</v>
      </c>
      <c r="P12" s="253">
        <f>E12+L12</f>
        <v>480.63351112848</v>
      </c>
      <c r="Q12" s="93"/>
    </row>
    <row r="13" spans="1:17" ht="12.75" customHeight="1">
      <c r="A13" s="58">
        <v>1935</v>
      </c>
      <c r="B13" s="22">
        <v>74.3</v>
      </c>
      <c r="C13" s="140">
        <v>6.8000000000000007</v>
      </c>
      <c r="D13" s="140">
        <v>3.9</v>
      </c>
      <c r="E13" s="253">
        <f t="shared" si="1"/>
        <v>97.435354691157002</v>
      </c>
      <c r="F13" s="140">
        <v>8.5</v>
      </c>
      <c r="G13" s="140">
        <f t="shared" si="2"/>
        <v>6.8</v>
      </c>
      <c r="H13" s="140">
        <v>8.8000000000000007</v>
      </c>
      <c r="I13" s="140">
        <v>1.7</v>
      </c>
      <c r="J13" s="254">
        <f t="shared" si="3"/>
        <v>7.1000000000000005</v>
      </c>
      <c r="K13" s="253">
        <f>SUM(L13,'Table 1.3.1.1'!G13,'Table 1.3.1.1'!H13)</f>
        <v>416.83340866174024</v>
      </c>
      <c r="L13" s="253">
        <f t="shared" si="0"/>
        <v>399.27395826085666</v>
      </c>
      <c r="M13" s="255">
        <f>'Table 1.3.1.1'!F13</f>
        <v>17.559450400883581</v>
      </c>
      <c r="N13" s="140">
        <f>C13+G13</f>
        <v>13.600000000000001</v>
      </c>
      <c r="O13" s="140">
        <f>D13+J13</f>
        <v>11</v>
      </c>
      <c r="P13" s="253">
        <f>E13+L13</f>
        <v>496.70931295201365</v>
      </c>
      <c r="Q13" s="93"/>
    </row>
    <row r="14" spans="1:17" ht="12.75" customHeight="1">
      <c r="A14" s="58">
        <v>1936</v>
      </c>
      <c r="B14" s="22">
        <v>84.9</v>
      </c>
      <c r="C14" s="140">
        <v>9.1999999999999993</v>
      </c>
      <c r="D14" s="140">
        <v>5</v>
      </c>
      <c r="E14" s="253">
        <f t="shared" si="1"/>
        <v>105.79175664035816</v>
      </c>
      <c r="F14" s="140">
        <v>8.1999999999999993</v>
      </c>
      <c r="G14" s="140">
        <f t="shared" si="2"/>
        <v>7.4999999999999991</v>
      </c>
      <c r="H14" s="140">
        <v>8.3000000000000007</v>
      </c>
      <c r="I14" s="140">
        <v>0.7</v>
      </c>
      <c r="J14" s="254">
        <f t="shared" si="3"/>
        <v>7.6000000000000005</v>
      </c>
      <c r="K14" s="253">
        <f>SUM(L14,'Table 1.3.1.1'!G14,'Table 1.3.1.1'!H14)</f>
        <v>443.45683286812022</v>
      </c>
      <c r="L14" s="253">
        <f t="shared" si="0"/>
        <v>424.77584881101046</v>
      </c>
      <c r="M14" s="255">
        <f>'Table 1.3.1.1'!F14</f>
        <v>18.680984057109736</v>
      </c>
      <c r="N14" s="140">
        <f>C14+G14</f>
        <v>16.7</v>
      </c>
      <c r="O14" s="140">
        <f>D14+J14</f>
        <v>12.600000000000001</v>
      </c>
      <c r="P14" s="253">
        <f>E14+L14</f>
        <v>530.56760545136865</v>
      </c>
      <c r="Q14" s="93"/>
    </row>
    <row r="15" spans="1:17" ht="12.75" customHeight="1">
      <c r="A15" s="58">
        <v>1937</v>
      </c>
      <c r="B15" s="22">
        <v>93</v>
      </c>
      <c r="C15" s="140">
        <v>7.7999999999999989</v>
      </c>
      <c r="D15" s="140">
        <v>7</v>
      </c>
      <c r="E15" s="253">
        <f t="shared" si="1"/>
        <v>114.86625888263563</v>
      </c>
      <c r="F15" s="140">
        <v>8.5</v>
      </c>
      <c r="G15" s="140">
        <f t="shared" si="2"/>
        <v>7.8</v>
      </c>
      <c r="H15" s="140">
        <v>8.8000000000000007</v>
      </c>
      <c r="I15" s="140">
        <v>0.7</v>
      </c>
      <c r="J15" s="254">
        <f t="shared" si="3"/>
        <v>8.1000000000000014</v>
      </c>
      <c r="K15" s="253">
        <f>SUM(L15,'Table 1.3.1.1'!G15,'Table 1.3.1.1'!H15)</f>
        <v>471.86385931120998</v>
      </c>
      <c r="L15" s="253">
        <f t="shared" si="0"/>
        <v>451.9862058857176</v>
      </c>
      <c r="M15" s="255">
        <f>'Table 1.3.1.1'!F15</f>
        <v>19.877653425492365</v>
      </c>
      <c r="N15" s="140">
        <f>C15+G15</f>
        <v>15.599999999999998</v>
      </c>
      <c r="O15" s="140">
        <f>D15+J15</f>
        <v>15.100000000000001</v>
      </c>
      <c r="P15" s="253">
        <f>E15+L15</f>
        <v>566.85246476835323</v>
      </c>
      <c r="Q15" s="93"/>
    </row>
    <row r="16" spans="1:17" ht="12.75" customHeight="1">
      <c r="A16" s="58">
        <v>1938</v>
      </c>
      <c r="B16" s="22">
        <v>87.4</v>
      </c>
      <c r="C16" s="140">
        <v>8.7999999999999989</v>
      </c>
      <c r="D16" s="140">
        <v>6.4</v>
      </c>
      <c r="E16" s="253">
        <f t="shared" si="1"/>
        <v>124.72071509627187</v>
      </c>
      <c r="F16" s="140">
        <v>9.1</v>
      </c>
      <c r="G16" s="140">
        <f t="shared" si="2"/>
        <v>8.5</v>
      </c>
      <c r="H16" s="140">
        <v>8.9</v>
      </c>
      <c r="I16" s="140">
        <v>0.6</v>
      </c>
      <c r="J16" s="254">
        <f t="shared" si="3"/>
        <v>8.3000000000000007</v>
      </c>
      <c r="K16" s="253">
        <f>SUM(L16,'Table 1.3.1.1'!G16,'Table 1.3.1.1'!H16)</f>
        <v>502.181793209494</v>
      </c>
      <c r="L16" s="253">
        <f t="shared" si="0"/>
        <v>481.02697186635953</v>
      </c>
      <c r="M16" s="255">
        <f>'Table 1.3.1.1'!F16</f>
        <v>21.154821343134497</v>
      </c>
      <c r="N16" s="140">
        <f>C16+G16</f>
        <v>17.299999999999997</v>
      </c>
      <c r="O16" s="140">
        <f>D16+J16</f>
        <v>14.700000000000001</v>
      </c>
      <c r="P16" s="253">
        <f>E16+L16</f>
        <v>605.74768696263141</v>
      </c>
      <c r="Q16" s="93"/>
    </row>
    <row r="17" spans="1:17" ht="12.75" customHeight="1">
      <c r="A17" s="58">
        <v>1939</v>
      </c>
      <c r="B17" s="22">
        <v>93.5</v>
      </c>
      <c r="C17" s="140">
        <v>9.6999999999999993</v>
      </c>
      <c r="D17" s="140">
        <v>6.6</v>
      </c>
      <c r="E17" s="253">
        <f t="shared" si="1"/>
        <v>135.42232132092983</v>
      </c>
      <c r="F17" s="140">
        <v>9.8000000000000007</v>
      </c>
      <c r="G17" s="140">
        <f t="shared" si="2"/>
        <v>8.9</v>
      </c>
      <c r="H17" s="140">
        <v>9.3000000000000007</v>
      </c>
      <c r="I17" s="140">
        <v>0.9</v>
      </c>
      <c r="J17" s="254">
        <f t="shared" si="3"/>
        <v>8.4</v>
      </c>
      <c r="K17" s="253">
        <f>SUM(L17,'Table 1.3.1.1'!G17,'Table 1.3.1.1'!H17)</f>
        <v>534.54772654176759</v>
      </c>
      <c r="L17" s="253">
        <f t="shared" si="0"/>
        <v>512.02946361929571</v>
      </c>
      <c r="M17" s="255">
        <f>'Table 1.3.1.1'!F17</f>
        <v>22.518262922471916</v>
      </c>
      <c r="N17" s="140">
        <f>C17+G17</f>
        <v>18.600000000000001</v>
      </c>
      <c r="O17" s="140">
        <f>D17+J17</f>
        <v>15</v>
      </c>
      <c r="P17" s="253">
        <f>E17+L17</f>
        <v>647.45178494022548</v>
      </c>
      <c r="Q17" s="93"/>
    </row>
    <row r="18" spans="1:17" ht="18" customHeight="1">
      <c r="A18" s="58">
        <v>1940</v>
      </c>
      <c r="B18" s="22">
        <v>102.9</v>
      </c>
      <c r="C18" s="140">
        <v>10.399999999999999</v>
      </c>
      <c r="D18" s="140">
        <v>8.5</v>
      </c>
      <c r="E18" s="253">
        <f t="shared" si="1"/>
        <v>149.54353084073321</v>
      </c>
      <c r="F18" s="140">
        <v>9.6999999999999993</v>
      </c>
      <c r="G18" s="140">
        <f t="shared" si="2"/>
        <v>9</v>
      </c>
      <c r="H18" s="140">
        <v>9.6</v>
      </c>
      <c r="I18" s="140">
        <v>0.7</v>
      </c>
      <c r="J18" s="254">
        <f t="shared" si="3"/>
        <v>8.9</v>
      </c>
      <c r="K18" s="253">
        <f>SUM(L18,'Table 1.3.1.1'!G18,'Table 1.3.1.1'!H18)</f>
        <v>569.72180674734386</v>
      </c>
      <c r="L18" s="253">
        <f t="shared" si="0"/>
        <v>545.72180674734386</v>
      </c>
      <c r="M18" s="255">
        <f>'Table 1.3.1.1'!F18</f>
        <v>24</v>
      </c>
      <c r="N18" s="140">
        <f>C18+G18</f>
        <v>19.399999999999999</v>
      </c>
      <c r="O18" s="140">
        <f>D18+J18</f>
        <v>17.399999999999999</v>
      </c>
      <c r="P18" s="253">
        <f>E18+L18</f>
        <v>695.26533758807705</v>
      </c>
      <c r="Q18" s="93"/>
    </row>
    <row r="19" spans="1:17" ht="12.75" customHeight="1">
      <c r="A19" s="58">
        <v>1941</v>
      </c>
      <c r="B19" s="22">
        <v>129.4</v>
      </c>
      <c r="C19" s="140">
        <v>22.1</v>
      </c>
      <c r="D19" s="140">
        <v>15.3</v>
      </c>
      <c r="E19" s="253">
        <f t="shared" si="1"/>
        <v>182.9777320607522</v>
      </c>
      <c r="F19" s="140">
        <v>9.4</v>
      </c>
      <c r="G19" s="140">
        <f t="shared" si="2"/>
        <v>8.8000000000000007</v>
      </c>
      <c r="H19" s="140">
        <v>10</v>
      </c>
      <c r="I19" s="140">
        <v>0.6</v>
      </c>
      <c r="J19" s="254">
        <f t="shared" si="3"/>
        <v>9.4</v>
      </c>
      <c r="K19" s="253">
        <f>SUM(L19,'Table 1.3.1.1'!G19,'Table 1.3.1.1'!H19)</f>
        <v>636.13213279746901</v>
      </c>
      <c r="L19" s="253">
        <f t="shared" si="0"/>
        <v>608.13213279746901</v>
      </c>
      <c r="M19" s="255">
        <f>'Table 1.3.1.1'!F19</f>
        <v>28</v>
      </c>
      <c r="N19" s="140">
        <f>C19+G19</f>
        <v>30.900000000000002</v>
      </c>
      <c r="O19" s="140">
        <f>D19+J19</f>
        <v>24.700000000000003</v>
      </c>
      <c r="P19" s="253">
        <f>E19+L19</f>
        <v>791.10986485822127</v>
      </c>
      <c r="Q19" s="93"/>
    </row>
    <row r="20" spans="1:17" ht="12.75" customHeight="1">
      <c r="A20" s="58">
        <v>1942</v>
      </c>
      <c r="B20" s="22">
        <v>166</v>
      </c>
      <c r="C20" s="140">
        <v>59</v>
      </c>
      <c r="D20" s="140">
        <v>22.7</v>
      </c>
      <c r="E20" s="253">
        <f t="shared" si="1"/>
        <v>224.02423637529168</v>
      </c>
      <c r="F20" s="140">
        <v>9.1</v>
      </c>
      <c r="G20" s="140">
        <f t="shared" si="2"/>
        <v>8.4</v>
      </c>
      <c r="H20" s="140">
        <v>10.199999999999999</v>
      </c>
      <c r="I20" s="140">
        <v>0.7</v>
      </c>
      <c r="J20" s="254">
        <f t="shared" si="3"/>
        <v>9.5</v>
      </c>
      <c r="K20" s="253">
        <f>SUM(L20,'Table 1.3.1.1'!G20,'Table 1.3.1.1'!H20)</f>
        <v>708.74529541798756</v>
      </c>
      <c r="L20" s="253">
        <f t="shared" si="0"/>
        <v>677.74529541798756</v>
      </c>
      <c r="M20" s="255">
        <f>'Table 1.3.1.1'!F20</f>
        <v>31</v>
      </c>
      <c r="N20" s="140">
        <f>C20+G20</f>
        <v>67.400000000000006</v>
      </c>
      <c r="O20" s="140">
        <f>D20+J20</f>
        <v>32.200000000000003</v>
      </c>
      <c r="P20" s="253">
        <f>E20+L20</f>
        <v>901.76953179327927</v>
      </c>
      <c r="Q20" s="93"/>
    </row>
    <row r="21" spans="1:17" ht="12.75" customHeight="1">
      <c r="A21" s="58">
        <v>1943</v>
      </c>
      <c r="B21" s="22">
        <v>203.1</v>
      </c>
      <c r="C21" s="140">
        <v>89.6</v>
      </c>
      <c r="D21" s="140">
        <v>38.9</v>
      </c>
      <c r="E21" s="253">
        <f t="shared" si="1"/>
        <v>274.4767939796003</v>
      </c>
      <c r="F21" s="140">
        <v>8.6999999999999993</v>
      </c>
      <c r="G21" s="140">
        <f t="shared" si="2"/>
        <v>7.8999999999999995</v>
      </c>
      <c r="H21" s="140">
        <v>10.5</v>
      </c>
      <c r="I21" s="140">
        <v>0.8</v>
      </c>
      <c r="J21" s="254">
        <f t="shared" si="3"/>
        <v>9.6999999999999993</v>
      </c>
      <c r="K21" s="253">
        <f>SUM(L21,'Table 1.3.1.1'!G21,'Table 1.3.1.1'!H21)</f>
        <v>810.41407679987708</v>
      </c>
      <c r="L21" s="253">
        <f t="shared" si="0"/>
        <v>755.41407679987708</v>
      </c>
      <c r="M21" s="255">
        <f>'Table 1.3.1.1'!F21</f>
        <v>55</v>
      </c>
      <c r="N21" s="140">
        <f>C21+G21</f>
        <v>97.5</v>
      </c>
      <c r="O21" s="140">
        <f>D21+J21</f>
        <v>48.599999999999994</v>
      </c>
      <c r="P21" s="253">
        <f>E21+L21</f>
        <v>1029.8908707794774</v>
      </c>
      <c r="Q21" s="93"/>
    </row>
    <row r="22" spans="1:17" ht="12.75" customHeight="1">
      <c r="A22" s="58">
        <v>1944</v>
      </c>
      <c r="B22" s="22">
        <v>224.6</v>
      </c>
      <c r="C22" s="140">
        <v>99.1</v>
      </c>
      <c r="D22" s="140">
        <v>40.6</v>
      </c>
      <c r="E22" s="253">
        <f t="shared" si="1"/>
        <v>336.57823696742548</v>
      </c>
      <c r="F22" s="140">
        <v>8.8000000000000007</v>
      </c>
      <c r="G22" s="140">
        <f t="shared" si="2"/>
        <v>8</v>
      </c>
      <c r="H22" s="140">
        <v>10.8</v>
      </c>
      <c r="I22" s="140">
        <v>0.8</v>
      </c>
      <c r="J22" s="254">
        <f t="shared" si="3"/>
        <v>10</v>
      </c>
      <c r="K22" s="253">
        <f>SUM(L22,'Table 1.3.1.1'!G22,'Table 1.3.1.1'!H22)</f>
        <v>926.60018116785318</v>
      </c>
      <c r="L22" s="253">
        <f t="shared" si="0"/>
        <v>842.10018116785318</v>
      </c>
      <c r="M22" s="255">
        <f>'Table 1.3.1.1'!F22</f>
        <v>84.5</v>
      </c>
      <c r="N22" s="140">
        <f>C22+G22</f>
        <v>107.1</v>
      </c>
      <c r="O22" s="140">
        <f>D22+J22</f>
        <v>50.6</v>
      </c>
      <c r="P22" s="253">
        <f>E22+L22</f>
        <v>1178.6784181352787</v>
      </c>
      <c r="Q22" s="93"/>
    </row>
    <row r="23" spans="1:17" ht="12.75" customHeight="1">
      <c r="A23" s="58">
        <v>1945</v>
      </c>
      <c r="B23" s="22">
        <v>228.2</v>
      </c>
      <c r="C23" s="140">
        <v>88.899999999999991</v>
      </c>
      <c r="D23" s="140">
        <v>42.2</v>
      </c>
      <c r="E23" s="253">
        <f t="shared" si="1"/>
        <v>413.14406269249298</v>
      </c>
      <c r="F23" s="140">
        <v>9.4</v>
      </c>
      <c r="G23" s="140">
        <f t="shared" si="2"/>
        <v>8.6</v>
      </c>
      <c r="H23" s="140">
        <v>11.3</v>
      </c>
      <c r="I23" s="140">
        <v>0.8</v>
      </c>
      <c r="J23" s="254">
        <f t="shared" si="3"/>
        <v>10.5</v>
      </c>
      <c r="K23" s="253">
        <f>SUM(L23,'Table 1.3.1.1'!G23,'Table 1.3.1.1'!H23)</f>
        <v>1018.3911637980736</v>
      </c>
      <c r="L23" s="253">
        <f t="shared" si="0"/>
        <v>938.89116379807365</v>
      </c>
      <c r="M23" s="255">
        <f>'Table 1.3.1.1'!F23</f>
        <v>79.5</v>
      </c>
      <c r="N23" s="140">
        <f>C23+G23</f>
        <v>97.499999999999986</v>
      </c>
      <c r="O23" s="140">
        <f>D23+J23</f>
        <v>52.7</v>
      </c>
      <c r="P23" s="253">
        <f>E23+L23</f>
        <v>1352.0352264905666</v>
      </c>
      <c r="Q23" s="93"/>
    </row>
    <row r="24" spans="1:17" ht="12.75" customHeight="1">
      <c r="A24" s="58">
        <v>1946</v>
      </c>
      <c r="B24" s="22">
        <v>227.8</v>
      </c>
      <c r="C24" s="140">
        <v>40.800000000000004</v>
      </c>
      <c r="D24" s="140">
        <v>40.200000000000003</v>
      </c>
      <c r="E24" s="253">
        <f t="shared" si="1"/>
        <v>507.7244650255895</v>
      </c>
      <c r="F24" s="140">
        <v>11.8</v>
      </c>
      <c r="G24" s="140">
        <f t="shared" si="2"/>
        <v>10.9</v>
      </c>
      <c r="H24" s="140">
        <v>12.7</v>
      </c>
      <c r="I24" s="140">
        <v>0.9</v>
      </c>
      <c r="J24" s="254">
        <f t="shared" si="3"/>
        <v>11.799999999999999</v>
      </c>
      <c r="K24" s="253">
        <f>SUM(L24,'Table 1.3.1.1'!G24,'Table 1.3.1.1'!H24)</f>
        <v>1110.0210711577124</v>
      </c>
      <c r="L24" s="253">
        <f t="shared" si="0"/>
        <v>1047.0210711577124</v>
      </c>
      <c r="M24" s="255">
        <f>'Table 1.3.1.1'!F24</f>
        <v>63</v>
      </c>
      <c r="N24" s="140">
        <f>C24+G24</f>
        <v>51.7</v>
      </c>
      <c r="O24" s="140">
        <f>D24+J24</f>
        <v>52</v>
      </c>
      <c r="P24" s="253">
        <f>E24+L24</f>
        <v>1554.745536183302</v>
      </c>
      <c r="Q24" s="93"/>
    </row>
    <row r="25" spans="1:17" ht="12.75" customHeight="1">
      <c r="A25" s="58">
        <v>1947</v>
      </c>
      <c r="B25" s="22">
        <v>249.9</v>
      </c>
      <c r="C25" s="140">
        <v>33.699999999999996</v>
      </c>
      <c r="D25" s="140">
        <v>43.6</v>
      </c>
      <c r="E25" s="253">
        <f t="shared" si="1"/>
        <v>624.8183837080303</v>
      </c>
      <c r="F25" s="140">
        <v>15.2</v>
      </c>
      <c r="G25" s="140">
        <f t="shared" si="2"/>
        <v>14.2</v>
      </c>
      <c r="H25" s="140">
        <v>14.5</v>
      </c>
      <c r="I25" s="140">
        <v>1</v>
      </c>
      <c r="J25" s="254">
        <f t="shared" si="3"/>
        <v>13.5</v>
      </c>
      <c r="K25" s="253">
        <f>SUM(L25,'Table 1.3.1.1'!G25,'Table 1.3.1.1'!H25)</f>
        <v>1216.8959259102141</v>
      </c>
      <c r="L25" s="253">
        <f t="shared" si="0"/>
        <v>1167.8959259102141</v>
      </c>
      <c r="M25" s="255">
        <f>'Table 1.3.1.1'!F25</f>
        <v>49</v>
      </c>
      <c r="N25" s="140">
        <f>C25+G25</f>
        <v>47.899999999999991</v>
      </c>
      <c r="O25" s="140">
        <f>D25+J25</f>
        <v>57.1</v>
      </c>
      <c r="P25" s="253">
        <f>E25+L25</f>
        <v>1792.7143096182444</v>
      </c>
      <c r="Q25" s="93"/>
    </row>
    <row r="26" spans="1:17" ht="12.75" customHeight="1">
      <c r="A26" s="58">
        <v>1948</v>
      </c>
      <c r="B26" s="22">
        <v>274.8</v>
      </c>
      <c r="C26" s="140">
        <v>37.799999999999997</v>
      </c>
      <c r="D26" s="140">
        <v>43.3</v>
      </c>
      <c r="E26" s="253">
        <f t="shared" si="1"/>
        <v>770.15844758538435</v>
      </c>
      <c r="F26" s="140">
        <v>18.3</v>
      </c>
      <c r="G26" s="140">
        <f t="shared" si="2"/>
        <v>16.900000000000002</v>
      </c>
      <c r="H26" s="140">
        <v>16.8</v>
      </c>
      <c r="I26" s="140">
        <v>1.4</v>
      </c>
      <c r="J26" s="254">
        <f t="shared" si="3"/>
        <v>15.4</v>
      </c>
      <c r="K26" s="253">
        <f>SUM(L26,'Table 1.3.1.1'!G26,'Table 1.3.1.1'!H26)</f>
        <v>1358.1256045134758</v>
      </c>
      <c r="L26" s="253">
        <f t="shared" si="0"/>
        <v>1303.1256045134758</v>
      </c>
      <c r="M26" s="255">
        <f>'Table 1.3.1.1'!F26</f>
        <v>55</v>
      </c>
      <c r="N26" s="140">
        <f>C26+G26</f>
        <v>54.7</v>
      </c>
      <c r="O26" s="140">
        <f>D26+J26</f>
        <v>58.699999999999996</v>
      </c>
      <c r="P26" s="253">
        <f>E26+L26</f>
        <v>2073.2840520988602</v>
      </c>
      <c r="Q26" s="93"/>
    </row>
    <row r="27" spans="1:17" ht="12.75" customHeight="1">
      <c r="A27" s="58">
        <v>1949</v>
      </c>
      <c r="B27" s="22">
        <v>272.8</v>
      </c>
      <c r="C27" s="140">
        <v>45.099999999999994</v>
      </c>
      <c r="D27" s="140">
        <v>38.6</v>
      </c>
      <c r="E27" s="253">
        <f t="shared" si="1"/>
        <v>966.55893073970515</v>
      </c>
      <c r="F27" s="140">
        <v>21.1</v>
      </c>
      <c r="G27" s="140">
        <f t="shared" si="2"/>
        <v>19.3</v>
      </c>
      <c r="H27" s="140">
        <v>18.7</v>
      </c>
      <c r="I27" s="140">
        <v>1.8</v>
      </c>
      <c r="J27" s="254">
        <f t="shared" si="3"/>
        <v>16.899999999999999</v>
      </c>
      <c r="K27" s="253">
        <f>SUM(L27,'Table 1.3.1.1'!G27,'Table 1.3.1.1'!H27)</f>
        <v>1699.1082333635993</v>
      </c>
      <c r="L27" s="253">
        <f t="shared" si="0"/>
        <v>1603.1082333635993</v>
      </c>
      <c r="M27" s="255">
        <f>'Table 1.3.1.1'!F27</f>
        <v>96</v>
      </c>
      <c r="N27" s="140">
        <f>C27+G27</f>
        <v>64.399999999999991</v>
      </c>
      <c r="O27" s="140">
        <f>D27+J27</f>
        <v>55.5</v>
      </c>
      <c r="P27" s="253">
        <f>E27+L27</f>
        <v>2569.6671641033045</v>
      </c>
      <c r="Q27" s="93"/>
    </row>
    <row r="28" spans="1:17" ht="18" customHeight="1">
      <c r="A28" s="58">
        <v>1950</v>
      </c>
      <c r="B28" s="22">
        <v>300.2</v>
      </c>
      <c r="C28" s="140">
        <v>46</v>
      </c>
      <c r="D28" s="140">
        <v>49.4</v>
      </c>
      <c r="E28" s="253">
        <f t="shared" si="1"/>
        <v>1181.2739043338786</v>
      </c>
      <c r="F28" s="140">
        <v>23.5</v>
      </c>
      <c r="G28" s="140">
        <f t="shared" si="2"/>
        <v>21.7</v>
      </c>
      <c r="H28" s="140">
        <v>20.399999999999999</v>
      </c>
      <c r="I28" s="140">
        <v>1.8</v>
      </c>
      <c r="J28" s="254">
        <f t="shared" si="3"/>
        <v>18.599999999999998</v>
      </c>
      <c r="K28" s="253">
        <f>SUM(L28,'Table 1.3.1.1'!G28,'Table 1.3.1.1'!H28)</f>
        <v>1977.9575363312042</v>
      </c>
      <c r="L28" s="253">
        <f t="shared" si="0"/>
        <v>1829.9575363312042</v>
      </c>
      <c r="M28" s="255">
        <f>'Table 1.3.1.1'!F28</f>
        <v>148</v>
      </c>
      <c r="N28" s="140">
        <f>C28+G28</f>
        <v>67.7</v>
      </c>
      <c r="O28" s="140">
        <f>D28+J28</f>
        <v>68</v>
      </c>
      <c r="P28" s="253">
        <f>E28+L28</f>
        <v>3011.231440665083</v>
      </c>
      <c r="Q28" s="93"/>
    </row>
    <row r="29" spans="1:17" ht="12.75" customHeight="1">
      <c r="A29" s="58">
        <v>1951</v>
      </c>
      <c r="B29" s="22">
        <v>347.3</v>
      </c>
      <c r="C29" s="140">
        <v>64</v>
      </c>
      <c r="D29" s="140">
        <v>63.6</v>
      </c>
      <c r="E29" s="253">
        <f t="shared" si="1"/>
        <v>1309.7752784465922</v>
      </c>
      <c r="F29" s="140">
        <v>24.9</v>
      </c>
      <c r="G29" s="140">
        <f t="shared" si="2"/>
        <v>22.9</v>
      </c>
      <c r="H29" s="140">
        <v>22.4</v>
      </c>
      <c r="I29" s="140">
        <v>2</v>
      </c>
      <c r="J29" s="254">
        <f t="shared" si="3"/>
        <v>20.399999999999999</v>
      </c>
      <c r="K29" s="253">
        <f>SUM(L29,'Table 1.3.1.1'!G29,'Table 1.3.1.1'!H29)</f>
        <v>2196.4978039264533</v>
      </c>
      <c r="L29" s="253">
        <f t="shared" si="0"/>
        <v>2013.4978039264533</v>
      </c>
      <c r="M29" s="255">
        <f>'Table 1.3.1.1'!F29</f>
        <v>183</v>
      </c>
      <c r="N29" s="140">
        <f>C29+G29</f>
        <v>86.9</v>
      </c>
      <c r="O29" s="140">
        <f>D29+J29</f>
        <v>84</v>
      </c>
      <c r="P29" s="253">
        <f>E29+L29</f>
        <v>3323.2730823730453</v>
      </c>
      <c r="Q29" s="93"/>
    </row>
    <row r="30" spans="1:17" ht="12.75" customHeight="1">
      <c r="A30" s="58">
        <v>1952</v>
      </c>
      <c r="B30" s="22">
        <v>367.7</v>
      </c>
      <c r="C30" s="140">
        <v>77.300000000000011</v>
      </c>
      <c r="D30" s="140">
        <v>66.599999999999994</v>
      </c>
      <c r="E30" s="253">
        <f t="shared" si="1"/>
        <v>1435.8219791292986</v>
      </c>
      <c r="F30" s="140">
        <v>26.5</v>
      </c>
      <c r="G30" s="140">
        <f t="shared" si="2"/>
        <v>24.4</v>
      </c>
      <c r="H30" s="140">
        <v>24.2</v>
      </c>
      <c r="I30" s="140">
        <v>2.1</v>
      </c>
      <c r="J30" s="254">
        <f t="shared" si="3"/>
        <v>22.099999999999998</v>
      </c>
      <c r="K30" s="253">
        <f>SUM(L30,'Table 1.3.1.1'!G30,'Table 1.3.1.1'!H30)</f>
        <v>2348.8198085186082</v>
      </c>
      <c r="L30" s="253">
        <f t="shared" si="0"/>
        <v>2166.3198085186082</v>
      </c>
      <c r="M30" s="255">
        <f>'Table 1.3.1.1'!F30</f>
        <v>182.5</v>
      </c>
      <c r="N30" s="140">
        <f>C30+G30</f>
        <v>101.70000000000002</v>
      </c>
      <c r="O30" s="140">
        <f>D30+J30</f>
        <v>88.699999999999989</v>
      </c>
      <c r="P30" s="253">
        <f>E30+L30</f>
        <v>3602.1417876479068</v>
      </c>
      <c r="Q30" s="93"/>
    </row>
    <row r="31" spans="1:17" ht="12.75" customHeight="1">
      <c r="A31" s="58">
        <v>1953</v>
      </c>
      <c r="B31" s="22">
        <v>389.7</v>
      </c>
      <c r="C31" s="140">
        <v>82.899999999999991</v>
      </c>
      <c r="D31" s="140">
        <v>69.5</v>
      </c>
      <c r="E31" s="253">
        <f t="shared" si="1"/>
        <v>1561.2391863244936</v>
      </c>
      <c r="F31" s="140">
        <v>28.4</v>
      </c>
      <c r="G31" s="140">
        <f t="shared" si="2"/>
        <v>26.2</v>
      </c>
      <c r="H31" s="140">
        <v>26.1</v>
      </c>
      <c r="I31" s="140">
        <v>2.2000000000000002</v>
      </c>
      <c r="J31" s="254">
        <f t="shared" si="3"/>
        <v>23.900000000000002</v>
      </c>
      <c r="K31" s="253">
        <f>SUM(L31,'Table 1.3.1.1'!G31,'Table 1.3.1.1'!H31)</f>
        <v>2450.9880337942182</v>
      </c>
      <c r="L31" s="253">
        <f t="shared" si="0"/>
        <v>2292.4880337942182</v>
      </c>
      <c r="M31" s="255">
        <f>'Table 1.3.1.1'!F31</f>
        <v>158.5</v>
      </c>
      <c r="N31" s="140">
        <f>C31+G31</f>
        <v>109.1</v>
      </c>
      <c r="O31" s="140">
        <f>D31+J31</f>
        <v>93.4</v>
      </c>
      <c r="P31" s="253">
        <f>E31+L31</f>
        <v>3853.7272201187116</v>
      </c>
      <c r="Q31" s="93"/>
    </row>
    <row r="32" spans="1:17" ht="12.75" customHeight="1">
      <c r="A32" s="58">
        <v>1954</v>
      </c>
      <c r="B32" s="22">
        <v>391.1</v>
      </c>
      <c r="C32" s="140">
        <v>77.099999999999994</v>
      </c>
      <c r="D32" s="140">
        <v>63.4</v>
      </c>
      <c r="E32" s="253">
        <f t="shared" si="1"/>
        <v>1704.8681815413804</v>
      </c>
      <c r="F32" s="140">
        <v>31.4</v>
      </c>
      <c r="G32" s="140">
        <f t="shared" si="2"/>
        <v>29.2</v>
      </c>
      <c r="H32" s="140">
        <v>27.6</v>
      </c>
      <c r="I32" s="140">
        <v>2.2000000000000002</v>
      </c>
      <c r="J32" s="254">
        <f t="shared" si="3"/>
        <v>25.400000000000002</v>
      </c>
      <c r="K32" s="253">
        <f>SUM(L32,'Table 1.3.1.1'!G32,'Table 1.3.1.1'!H32)</f>
        <v>2572.4700312093119</v>
      </c>
      <c r="L32" s="253">
        <f t="shared" si="0"/>
        <v>2437.9700312093119</v>
      </c>
      <c r="M32" s="255">
        <f>'Table 1.3.1.1'!F32</f>
        <v>134.5</v>
      </c>
      <c r="N32" s="140">
        <f>C32+G32</f>
        <v>106.3</v>
      </c>
      <c r="O32" s="140">
        <f>D32+J32</f>
        <v>88.8</v>
      </c>
      <c r="P32" s="253">
        <f>E32+L32</f>
        <v>4142.838212750692</v>
      </c>
      <c r="Q32" s="93"/>
    </row>
    <row r="33" spans="1:17" ht="12.75" customHeight="1">
      <c r="A33" s="58">
        <v>1955</v>
      </c>
      <c r="B33" s="22">
        <v>426.2</v>
      </c>
      <c r="C33" s="140">
        <v>75.8</v>
      </c>
      <c r="D33" s="140">
        <v>72</v>
      </c>
      <c r="E33" s="253">
        <f t="shared" si="1"/>
        <v>1870.3549601974428</v>
      </c>
      <c r="F33" s="140">
        <v>34.6</v>
      </c>
      <c r="G33" s="140">
        <f t="shared" si="2"/>
        <v>32.300000000000004</v>
      </c>
      <c r="H33" s="140">
        <v>30.2</v>
      </c>
      <c r="I33" s="140">
        <v>2.2999999999999998</v>
      </c>
      <c r="J33" s="254">
        <f t="shared" si="3"/>
        <v>27.9</v>
      </c>
      <c r="K33" s="253">
        <f>SUM(L33,'Table 1.3.1.1'!G33,'Table 1.3.1.1'!H33)</f>
        <v>2753.5890783678024</v>
      </c>
      <c r="L33" s="253">
        <f t="shared" si="0"/>
        <v>2622.0890783678024</v>
      </c>
      <c r="M33" s="255">
        <f>'Table 1.3.1.1'!F33</f>
        <v>131.5</v>
      </c>
      <c r="N33" s="140">
        <f>C33+G33</f>
        <v>108.1</v>
      </c>
      <c r="O33" s="140">
        <f>D33+J33</f>
        <v>99.9</v>
      </c>
      <c r="P33" s="253">
        <f>E33+L33</f>
        <v>4492.4440385652451</v>
      </c>
      <c r="Q33" s="93"/>
    </row>
    <row r="34" spans="1:17" ht="12.75" customHeight="1">
      <c r="A34" s="58">
        <v>1956</v>
      </c>
      <c r="B34" s="22">
        <v>450.1</v>
      </c>
      <c r="C34" s="140">
        <v>79.3</v>
      </c>
      <c r="D34" s="140">
        <v>77.099999999999994</v>
      </c>
      <c r="E34" s="253">
        <f t="shared" si="1"/>
        <v>2020.9837428525846</v>
      </c>
      <c r="F34" s="140">
        <v>37.6</v>
      </c>
      <c r="G34" s="140">
        <f t="shared" si="2"/>
        <v>35.200000000000003</v>
      </c>
      <c r="H34" s="140">
        <v>33.299999999999997</v>
      </c>
      <c r="I34" s="140">
        <v>2.4</v>
      </c>
      <c r="J34" s="254">
        <f t="shared" si="3"/>
        <v>30.9</v>
      </c>
      <c r="K34" s="253">
        <f>SUM(L34,'Table 1.3.1.1'!G34,'Table 1.3.1.1'!H34)</f>
        <v>2990.6260629494031</v>
      </c>
      <c r="L34" s="253">
        <f t="shared" si="0"/>
        <v>2837.1260629494031</v>
      </c>
      <c r="M34" s="255">
        <f>'Table 1.3.1.1'!F34</f>
        <v>153.5</v>
      </c>
      <c r="N34" s="140">
        <f>C34+G34</f>
        <v>114.5</v>
      </c>
      <c r="O34" s="140">
        <f>D34+J34</f>
        <v>108</v>
      </c>
      <c r="P34" s="253">
        <f>E34+L34</f>
        <v>4858.1098058019879</v>
      </c>
      <c r="Q34" s="93"/>
    </row>
    <row r="35" spans="1:17" ht="12.75" customHeight="1">
      <c r="A35" s="58">
        <v>1957</v>
      </c>
      <c r="B35" s="22">
        <v>474.9</v>
      </c>
      <c r="C35" s="140">
        <v>88.1</v>
      </c>
      <c r="D35" s="140">
        <v>80.7</v>
      </c>
      <c r="E35" s="253">
        <f t="shared" si="1"/>
        <v>2210.1355179831594</v>
      </c>
      <c r="F35" s="140">
        <v>41.6</v>
      </c>
      <c r="G35" s="140">
        <f t="shared" si="2"/>
        <v>38.800000000000004</v>
      </c>
      <c r="H35" s="140">
        <v>36.4</v>
      </c>
      <c r="I35" s="140">
        <v>2.8</v>
      </c>
      <c r="J35" s="254">
        <f t="shared" si="3"/>
        <v>33.6</v>
      </c>
      <c r="K35" s="253">
        <f>SUM(L35,'Table 1.3.1.1'!G35,'Table 1.3.1.1'!H35)</f>
        <v>3300.3634681878652</v>
      </c>
      <c r="L35" s="253">
        <f t="shared" si="0"/>
        <v>3124.8634681878652</v>
      </c>
      <c r="M35" s="255">
        <f>'Table 1.3.1.1'!F35</f>
        <v>175.5</v>
      </c>
      <c r="N35" s="140">
        <f>C35+G35</f>
        <v>126.9</v>
      </c>
      <c r="O35" s="140">
        <f>D35+J35</f>
        <v>114.30000000000001</v>
      </c>
      <c r="P35" s="253">
        <f>E35+L35</f>
        <v>5334.9989861710246</v>
      </c>
      <c r="Q35" s="93"/>
    </row>
    <row r="36" spans="1:17" ht="12.75" customHeight="1">
      <c r="A36" s="58">
        <v>1958</v>
      </c>
      <c r="B36" s="22">
        <v>482</v>
      </c>
      <c r="C36" s="140">
        <v>95.899999999999991</v>
      </c>
      <c r="D36" s="140">
        <v>77.400000000000006</v>
      </c>
      <c r="E36" s="253">
        <f t="shared" si="1"/>
        <v>2400.0045334434872</v>
      </c>
      <c r="F36" s="140">
        <v>46.1</v>
      </c>
      <c r="G36" s="140">
        <f t="shared" si="2"/>
        <v>42.9</v>
      </c>
      <c r="H36" s="140">
        <v>39.5</v>
      </c>
      <c r="I36" s="140">
        <v>3.2</v>
      </c>
      <c r="J36" s="254">
        <f t="shared" si="3"/>
        <v>36.299999999999997</v>
      </c>
      <c r="K36" s="253">
        <f>SUM(L36,'Table 1.3.1.1'!G36,'Table 1.3.1.1'!H36)</f>
        <v>3621.8933526181881</v>
      </c>
      <c r="L36" s="253">
        <f t="shared" si="0"/>
        <v>3419.8933526181881</v>
      </c>
      <c r="M36" s="255">
        <f>'Table 1.3.1.1'!F36</f>
        <v>202</v>
      </c>
      <c r="N36" s="140">
        <f>C36+G36</f>
        <v>138.79999999999998</v>
      </c>
      <c r="O36" s="140">
        <f>D36+J36</f>
        <v>113.7</v>
      </c>
      <c r="P36" s="253">
        <f>E36+L36</f>
        <v>5819.8978860616753</v>
      </c>
      <c r="Q36" s="93"/>
    </row>
    <row r="37" spans="1:17" ht="12.75" customHeight="1">
      <c r="A37" s="58">
        <v>1959</v>
      </c>
      <c r="B37" s="22">
        <v>522.5</v>
      </c>
      <c r="C37" s="140">
        <v>101.1</v>
      </c>
      <c r="D37" s="140">
        <v>88</v>
      </c>
      <c r="E37" s="253">
        <f t="shared" si="1"/>
        <v>2605.8007274713823</v>
      </c>
      <c r="F37" s="140">
        <v>48.8</v>
      </c>
      <c r="G37" s="140">
        <f t="shared" si="2"/>
        <v>45.199999999999996</v>
      </c>
      <c r="H37" s="140">
        <v>43.9</v>
      </c>
      <c r="I37" s="140">
        <v>3.6</v>
      </c>
      <c r="J37" s="254">
        <f t="shared" si="3"/>
        <v>40.299999999999997</v>
      </c>
      <c r="K37" s="253">
        <f>SUM(L37,'Table 1.3.1.1'!G37,'Table 1.3.1.1'!H37)</f>
        <v>3873.3599077812769</v>
      </c>
      <c r="L37" s="253">
        <f t="shared" si="0"/>
        <v>3655.3599077812769</v>
      </c>
      <c r="M37" s="255">
        <f>'Table 1.3.1.1'!F37</f>
        <v>218</v>
      </c>
      <c r="N37" s="140">
        <f>C37+G37</f>
        <v>146.29999999999998</v>
      </c>
      <c r="O37" s="140">
        <f>D37+J37</f>
        <v>128.30000000000001</v>
      </c>
      <c r="P37" s="253">
        <f>E37+L37</f>
        <v>6261.1606352526596</v>
      </c>
      <c r="Q37" s="93"/>
    </row>
    <row r="38" spans="1:17" ht="18" customHeight="1">
      <c r="A38" s="58">
        <v>1960</v>
      </c>
      <c r="B38" s="22">
        <v>543.29999999999995</v>
      </c>
      <c r="C38" s="140">
        <v>93.4</v>
      </c>
      <c r="D38" s="140">
        <v>95.3</v>
      </c>
      <c r="E38" s="257">
        <f>'Table 1.1.8'!C7</f>
        <v>2814.9049999999997</v>
      </c>
      <c r="F38" s="140">
        <v>52</v>
      </c>
      <c r="G38" s="140">
        <f t="shared" si="2"/>
        <v>48.2</v>
      </c>
      <c r="H38" s="140">
        <v>47.2</v>
      </c>
      <c r="I38" s="140">
        <v>3.8</v>
      </c>
      <c r="J38" s="254">
        <f t="shared" si="3"/>
        <v>43.400000000000006</v>
      </c>
      <c r="K38" s="253">
        <f>SUM(L38,'Table 1.3.1.1'!G38,'Table 1.3.1.1'!H38)</f>
        <v>4094.0950000000003</v>
      </c>
      <c r="L38" s="258">
        <f>'Table 1.1.8'!D7</f>
        <v>3856.0950000000003</v>
      </c>
      <c r="M38" s="255">
        <f>'Table 1.3.1.1'!F38</f>
        <v>238</v>
      </c>
      <c r="N38" s="140">
        <f>C38+G38</f>
        <v>141.60000000000002</v>
      </c>
      <c r="O38" s="140">
        <f>D38+J38</f>
        <v>138.69999999999999</v>
      </c>
      <c r="P38" s="257">
        <f>E38+L38</f>
        <v>6671</v>
      </c>
      <c r="Q38" s="93"/>
    </row>
    <row r="39" spans="1:17" ht="12.75" customHeight="1">
      <c r="A39" s="58">
        <v>1961</v>
      </c>
      <c r="B39" s="22">
        <v>563.29999999999995</v>
      </c>
      <c r="C39" s="140">
        <v>99.8</v>
      </c>
      <c r="D39" s="140">
        <v>97</v>
      </c>
      <c r="E39" s="257">
        <f>'Table 1.1.8'!C8</f>
        <v>3212.6239999999998</v>
      </c>
      <c r="F39" s="140">
        <v>56.9</v>
      </c>
      <c r="G39" s="140">
        <f t="shared" si="2"/>
        <v>52.6</v>
      </c>
      <c r="H39" s="140">
        <v>51</v>
      </c>
      <c r="I39" s="140">
        <v>4.3</v>
      </c>
      <c r="J39" s="254">
        <f t="shared" si="3"/>
        <v>46.7</v>
      </c>
      <c r="K39" s="253">
        <f>SUM(L39,'Table 1.3.1.1'!G39,'Table 1.3.1.1'!H39)</f>
        <v>4447.8760000000002</v>
      </c>
      <c r="L39" s="258">
        <f>'Table 1.1.8'!D8</f>
        <v>4134.3760000000002</v>
      </c>
      <c r="M39" s="255">
        <f>'Table 1.3.1.1'!F39</f>
        <v>313.5</v>
      </c>
      <c r="N39" s="140">
        <f>C39+G39</f>
        <v>152.4</v>
      </c>
      <c r="O39" s="140">
        <f>D39+J39</f>
        <v>143.69999999999999</v>
      </c>
      <c r="P39" s="257">
        <f>E39+L39</f>
        <v>7347</v>
      </c>
      <c r="Q39" s="93"/>
    </row>
    <row r="40" spans="1:17" ht="12.75" customHeight="1">
      <c r="A40" s="58">
        <v>1962</v>
      </c>
      <c r="B40" s="22">
        <v>605.1</v>
      </c>
      <c r="C40" s="140">
        <v>108.5</v>
      </c>
      <c r="D40" s="140">
        <v>105.2</v>
      </c>
      <c r="E40" s="257">
        <f>'Table 1.1.8'!C9</f>
        <v>3628.02</v>
      </c>
      <c r="F40" s="140">
        <v>60.2</v>
      </c>
      <c r="G40" s="140">
        <f t="shared" si="2"/>
        <v>55.5</v>
      </c>
      <c r="H40" s="140">
        <v>55.1</v>
      </c>
      <c r="I40" s="140">
        <v>4.7</v>
      </c>
      <c r="J40" s="254">
        <f t="shared" si="3"/>
        <v>50.4</v>
      </c>
      <c r="K40" s="253">
        <f>SUM(L40,'Table 1.3.1.1'!G40,'Table 1.3.1.1'!H40)</f>
        <v>4777.4799999999996</v>
      </c>
      <c r="L40" s="258">
        <f>'Table 1.1.8'!D9</f>
        <v>4369.9799999999996</v>
      </c>
      <c r="M40" s="255">
        <f>'Table 1.3.1.1'!F40</f>
        <v>407.5</v>
      </c>
      <c r="N40" s="140">
        <f>C40+G40</f>
        <v>164</v>
      </c>
      <c r="O40" s="140">
        <f>D40+J40</f>
        <v>155.6</v>
      </c>
      <c r="P40" s="257">
        <f>E40+L40</f>
        <v>7998</v>
      </c>
      <c r="Q40" s="93"/>
    </row>
    <row r="41" spans="1:17" ht="12.75" customHeight="1">
      <c r="A41" s="58">
        <v>1963</v>
      </c>
      <c r="B41" s="22">
        <v>638.6</v>
      </c>
      <c r="C41" s="140">
        <v>113.5</v>
      </c>
      <c r="D41" s="140">
        <v>113.6</v>
      </c>
      <c r="E41" s="257">
        <f>'Table 1.1.8'!C10</f>
        <v>4149.6480000000001</v>
      </c>
      <c r="F41" s="140">
        <v>65.2</v>
      </c>
      <c r="G41" s="140">
        <f t="shared" si="2"/>
        <v>60</v>
      </c>
      <c r="H41" s="140">
        <v>59.7</v>
      </c>
      <c r="I41" s="140">
        <v>5.2</v>
      </c>
      <c r="J41" s="254">
        <f t="shared" si="3"/>
        <v>54.5</v>
      </c>
      <c r="K41" s="253">
        <f>SUM(L41,'Table 1.3.1.1'!G41,'Table 1.3.1.1'!H41)</f>
        <v>5175.8519999999999</v>
      </c>
      <c r="L41" s="258">
        <f>'Table 1.1.8'!D10</f>
        <v>4681.3519999999999</v>
      </c>
      <c r="M41" s="255">
        <f>'Table 1.3.1.1'!F41</f>
        <v>494.5</v>
      </c>
      <c r="N41" s="140">
        <f>C41+G41</f>
        <v>173.5</v>
      </c>
      <c r="O41" s="140">
        <f>D41+J41</f>
        <v>168.1</v>
      </c>
      <c r="P41" s="257">
        <f>E41+L41</f>
        <v>8831</v>
      </c>
      <c r="Q41" s="93"/>
    </row>
    <row r="42" spans="1:17" ht="12.75" customHeight="1">
      <c r="A42" s="58">
        <v>1964</v>
      </c>
      <c r="B42" s="22">
        <v>685.8</v>
      </c>
      <c r="C42" s="140">
        <v>118.2</v>
      </c>
      <c r="D42" s="140">
        <v>113.9</v>
      </c>
      <c r="E42" s="257">
        <f>'Table 1.1.8'!C11</f>
        <v>4350.701</v>
      </c>
      <c r="F42" s="140">
        <v>70.900000000000006</v>
      </c>
      <c r="G42" s="140">
        <f t="shared" si="2"/>
        <v>64.900000000000006</v>
      </c>
      <c r="H42" s="140">
        <v>65.400000000000006</v>
      </c>
      <c r="I42" s="140">
        <v>6</v>
      </c>
      <c r="J42" s="254">
        <f t="shared" si="3"/>
        <v>59.400000000000006</v>
      </c>
      <c r="K42" s="253">
        <f>SUM(L42,'Table 1.3.1.1'!G42,'Table 1.3.1.1'!H42)</f>
        <v>5688.799</v>
      </c>
      <c r="L42" s="258">
        <f>'Table 1.1.8'!D11</f>
        <v>5107.299</v>
      </c>
      <c r="M42" s="255">
        <f>'Table 1.3.1.1'!F42</f>
        <v>581.5</v>
      </c>
      <c r="N42" s="140">
        <f>C42+G42</f>
        <v>183.10000000000002</v>
      </c>
      <c r="O42" s="140">
        <f>D42+J42</f>
        <v>173.3</v>
      </c>
      <c r="P42" s="257">
        <f>E42+L42</f>
        <v>9458</v>
      </c>
      <c r="Q42" s="93"/>
    </row>
    <row r="43" spans="1:17" ht="12.75" customHeight="1">
      <c r="A43" s="58">
        <v>1965</v>
      </c>
      <c r="B43" s="22">
        <v>743.7</v>
      </c>
      <c r="C43" s="140">
        <v>125.9</v>
      </c>
      <c r="D43" s="140">
        <v>123.2</v>
      </c>
      <c r="E43" s="257">
        <f>'Table 1.1.8'!C12</f>
        <v>4598.67</v>
      </c>
      <c r="F43" s="140">
        <v>77.7</v>
      </c>
      <c r="G43" s="140">
        <f t="shared" si="2"/>
        <v>71.100000000000009</v>
      </c>
      <c r="H43" s="140">
        <v>70.5</v>
      </c>
      <c r="I43" s="140">
        <v>6.6</v>
      </c>
      <c r="J43" s="254">
        <f t="shared" si="3"/>
        <v>63.9</v>
      </c>
      <c r="K43" s="253">
        <f>SUM(L43,'Table 1.3.1.1'!G43,'Table 1.3.1.1'!H43)</f>
        <v>6204.83</v>
      </c>
      <c r="L43" s="258">
        <f>'Table 1.1.8'!D12</f>
        <v>5695.33</v>
      </c>
      <c r="M43" s="255">
        <f>'Table 1.3.1.1'!F43</f>
        <v>509.5</v>
      </c>
      <c r="N43" s="140">
        <f>C43+G43</f>
        <v>197</v>
      </c>
      <c r="O43" s="140">
        <f>D43+J43</f>
        <v>187.1</v>
      </c>
      <c r="P43" s="257">
        <f>E43+L43</f>
        <v>10294</v>
      </c>
      <c r="Q43" s="93"/>
    </row>
    <row r="44" spans="1:17" ht="12.75" customHeight="1">
      <c r="A44" s="58">
        <v>1966</v>
      </c>
      <c r="B44" s="22">
        <v>815</v>
      </c>
      <c r="C44" s="140">
        <v>144.30000000000001</v>
      </c>
      <c r="D44" s="140">
        <v>140.4</v>
      </c>
      <c r="E44" s="257">
        <f>'Table 1.1.8'!C13</f>
        <v>7420.6310000000003</v>
      </c>
      <c r="F44" s="140">
        <v>86.7</v>
      </c>
      <c r="G44" s="140">
        <f t="shared" si="2"/>
        <v>77.3</v>
      </c>
      <c r="H44" s="140">
        <v>79.2</v>
      </c>
      <c r="I44" s="140">
        <v>9.4</v>
      </c>
      <c r="J44" s="254">
        <f t="shared" si="3"/>
        <v>69.8</v>
      </c>
      <c r="K44" s="253">
        <f>SUM(L44,'Table 1.3.1.1'!G44,'Table 1.3.1.1'!H44)</f>
        <v>7431.3689999999997</v>
      </c>
      <c r="L44" s="258">
        <f>'Table 1.1.8'!D13</f>
        <v>6352.3689999999997</v>
      </c>
      <c r="M44" s="255">
        <f>'Table 1.3.1.1'!F44</f>
        <v>1079</v>
      </c>
      <c r="N44" s="140">
        <f>C44+G44</f>
        <v>221.60000000000002</v>
      </c>
      <c r="O44" s="140">
        <f>D44+J44</f>
        <v>210.2</v>
      </c>
      <c r="P44" s="257">
        <f>E44+L44</f>
        <v>13773</v>
      </c>
      <c r="Q44" s="93"/>
    </row>
    <row r="45" spans="1:17" ht="12.75" customHeight="1">
      <c r="A45" s="58">
        <v>1967</v>
      </c>
      <c r="B45" s="22">
        <v>861.7</v>
      </c>
      <c r="C45" s="140">
        <v>165.7</v>
      </c>
      <c r="D45" s="140">
        <v>149.30000000000001</v>
      </c>
      <c r="E45" s="257">
        <f>'Table 1.1.8'!C14</f>
        <v>11833.3</v>
      </c>
      <c r="F45" s="140">
        <v>96.2</v>
      </c>
      <c r="G45" s="140">
        <f t="shared" si="2"/>
        <v>85.3</v>
      </c>
      <c r="H45" s="140">
        <v>86.7</v>
      </c>
      <c r="I45" s="140">
        <v>10.9</v>
      </c>
      <c r="J45" s="254">
        <f t="shared" si="3"/>
        <v>75.8</v>
      </c>
      <c r="K45" s="253">
        <f>SUM(L45,'Table 1.3.1.1'!G45,'Table 1.3.1.1'!H45)</f>
        <v>9521.2000000000007</v>
      </c>
      <c r="L45" s="258">
        <f>'Table 1.1.8'!D14</f>
        <v>7296.7</v>
      </c>
      <c r="M45" s="255">
        <f>'Table 1.3.1.1'!F45</f>
        <v>2224.5</v>
      </c>
      <c r="N45" s="140">
        <f>C45+G45</f>
        <v>251</v>
      </c>
      <c r="O45" s="140">
        <f>D45+J45</f>
        <v>225.10000000000002</v>
      </c>
      <c r="P45" s="257">
        <f>E45+L45</f>
        <v>19130</v>
      </c>
      <c r="Q45" s="93"/>
    </row>
    <row r="46" spans="1:17" ht="12.75" customHeight="1">
      <c r="A46" s="58">
        <v>1968</v>
      </c>
      <c r="B46" s="22">
        <v>942.5</v>
      </c>
      <c r="C46" s="140">
        <v>184.3</v>
      </c>
      <c r="D46" s="140">
        <v>173.7</v>
      </c>
      <c r="E46" s="257">
        <f>'Table 1.1.8'!C15</f>
        <v>13937.736000000001</v>
      </c>
      <c r="F46" s="140">
        <v>109.1</v>
      </c>
      <c r="G46" s="140">
        <f t="shared" si="2"/>
        <v>97.3</v>
      </c>
      <c r="H46" s="140">
        <v>99.3</v>
      </c>
      <c r="I46" s="140">
        <v>11.8</v>
      </c>
      <c r="J46" s="254">
        <f t="shared" si="3"/>
        <v>87.5</v>
      </c>
      <c r="K46" s="253">
        <f>SUM(L46,'Table 1.3.1.1'!G46,'Table 1.3.1.1'!H46)</f>
        <v>10830.263999999999</v>
      </c>
      <c r="L46" s="258">
        <f>'Table 1.1.8'!D15</f>
        <v>8086.2640000000001</v>
      </c>
      <c r="M46" s="255">
        <f>'Table 1.3.1.1'!F46</f>
        <v>2744</v>
      </c>
      <c r="N46" s="140">
        <f>C46+G46</f>
        <v>281.60000000000002</v>
      </c>
      <c r="O46" s="140">
        <f>D46+J46</f>
        <v>261.2</v>
      </c>
      <c r="P46" s="257">
        <f>E46+L46</f>
        <v>22024</v>
      </c>
      <c r="Q46" s="93"/>
    </row>
    <row r="47" spans="1:17" ht="12.75" customHeight="1">
      <c r="A47" s="58">
        <v>1969</v>
      </c>
      <c r="B47" s="22">
        <v>1019.9</v>
      </c>
      <c r="C47" s="140">
        <v>196.9</v>
      </c>
      <c r="D47" s="140">
        <v>195.4</v>
      </c>
      <c r="E47" s="257">
        <f>'Table 1.1.8'!C16</f>
        <v>15743.111999999999</v>
      </c>
      <c r="F47" s="140">
        <v>120.4</v>
      </c>
      <c r="G47" s="140">
        <f t="shared" si="2"/>
        <v>106.7</v>
      </c>
      <c r="H47" s="140">
        <v>111.2</v>
      </c>
      <c r="I47" s="140">
        <v>13.7</v>
      </c>
      <c r="J47" s="254">
        <f t="shared" si="3"/>
        <v>97.5</v>
      </c>
      <c r="K47" s="253">
        <f>SUM(L47,'Table 1.3.1.1'!G47,'Table 1.3.1.1'!H47)</f>
        <v>12348.887999999999</v>
      </c>
      <c r="L47" s="258">
        <f>'Table 1.1.8'!D16</f>
        <v>9030.887999999999</v>
      </c>
      <c r="M47" s="255">
        <f>'Table 1.3.1.1'!F47</f>
        <v>3318</v>
      </c>
      <c r="N47" s="140">
        <f>C47+G47</f>
        <v>303.60000000000002</v>
      </c>
      <c r="O47" s="140">
        <f>D47+J47</f>
        <v>292.89999999999998</v>
      </c>
      <c r="P47" s="257">
        <f>E47+L47</f>
        <v>24774</v>
      </c>
      <c r="Q47" s="93"/>
    </row>
    <row r="48" spans="1:17" ht="18" customHeight="1">
      <c r="A48" s="58">
        <v>1970</v>
      </c>
      <c r="B48" s="22">
        <v>1075.9000000000001</v>
      </c>
      <c r="C48" s="140">
        <v>219.9</v>
      </c>
      <c r="D48" s="140">
        <v>188.8</v>
      </c>
      <c r="E48" s="257">
        <f>'Table 1.1.8'!C17</f>
        <v>17643.22</v>
      </c>
      <c r="F48" s="140">
        <v>135.4</v>
      </c>
      <c r="G48" s="140">
        <f t="shared" si="2"/>
        <v>117.10000000000001</v>
      </c>
      <c r="H48" s="140">
        <v>125.1</v>
      </c>
      <c r="I48" s="140">
        <v>18.3</v>
      </c>
      <c r="J48" s="254">
        <f t="shared" si="3"/>
        <v>106.8</v>
      </c>
      <c r="K48" s="253">
        <f>SUM(L48,'Table 1.3.1.1'!G48,'Table 1.3.1.1'!H48)</f>
        <v>14353.779999999999</v>
      </c>
      <c r="L48" s="258">
        <f>'Table 1.1.8'!D17</f>
        <v>10384.779999999999</v>
      </c>
      <c r="M48" s="255">
        <f>'Table 1.3.1.1'!F48</f>
        <v>3969</v>
      </c>
      <c r="N48" s="140">
        <f>C48+G48</f>
        <v>337</v>
      </c>
      <c r="O48" s="140">
        <f>D48+J48</f>
        <v>295.60000000000002</v>
      </c>
      <c r="P48" s="257">
        <f>E48+L48</f>
        <v>28028</v>
      </c>
      <c r="Q48" s="93"/>
    </row>
    <row r="49" spans="1:17" ht="12.75" customHeight="1">
      <c r="A49" s="58">
        <v>1971</v>
      </c>
      <c r="B49" s="22">
        <v>1167.8</v>
      </c>
      <c r="C49" s="140">
        <v>241.5</v>
      </c>
      <c r="D49" s="140">
        <v>195.3</v>
      </c>
      <c r="E49" s="257">
        <f>'Table 1.1.8'!C18</f>
        <v>20475.78</v>
      </c>
      <c r="F49" s="140">
        <v>153.1</v>
      </c>
      <c r="G49" s="140">
        <f t="shared" si="2"/>
        <v>131</v>
      </c>
      <c r="H49" s="140">
        <v>140.6</v>
      </c>
      <c r="I49" s="140">
        <v>22.1</v>
      </c>
      <c r="J49" s="254">
        <f t="shared" si="3"/>
        <v>118.5</v>
      </c>
      <c r="K49" s="253">
        <f>SUM(L49,'Table 1.3.1.1'!G49,'Table 1.3.1.1'!H49)</f>
        <v>16536.72</v>
      </c>
      <c r="L49" s="258">
        <f>'Table 1.1.8'!D18</f>
        <v>11456.220000000001</v>
      </c>
      <c r="M49" s="255">
        <f>'Table 1.3.1.1'!F49</f>
        <v>5080.5</v>
      </c>
      <c r="N49" s="140">
        <f>C49+G49</f>
        <v>372.5</v>
      </c>
      <c r="O49" s="140">
        <f>D49+J49</f>
        <v>313.8</v>
      </c>
      <c r="P49" s="257">
        <f>E49+L49</f>
        <v>31932</v>
      </c>
      <c r="Q49" s="93"/>
    </row>
    <row r="50" spans="1:17" ht="12.75" customHeight="1">
      <c r="A50" s="58">
        <v>1972</v>
      </c>
      <c r="B50" s="22">
        <v>1282.4000000000001</v>
      </c>
      <c r="C50" s="140">
        <v>267.89999999999998</v>
      </c>
      <c r="D50" s="140">
        <v>224.4</v>
      </c>
      <c r="E50" s="257">
        <f>'Table 1.1.8'!C19</f>
        <v>23009.56</v>
      </c>
      <c r="F50" s="140">
        <v>168.2</v>
      </c>
      <c r="G50" s="140">
        <f t="shared" si="2"/>
        <v>137.69999999999999</v>
      </c>
      <c r="H50" s="140">
        <v>164.2</v>
      </c>
      <c r="I50" s="140">
        <v>30.5</v>
      </c>
      <c r="J50" s="254">
        <f t="shared" si="3"/>
        <v>133.69999999999999</v>
      </c>
      <c r="K50" s="253">
        <f>SUM(L50,'Table 1.3.1.1'!G50,'Table 1.3.1.1'!H50)</f>
        <v>18705.440000000002</v>
      </c>
      <c r="L50" s="258">
        <f>'Table 1.1.8'!D19</f>
        <v>12749.44</v>
      </c>
      <c r="M50" s="255">
        <f>'Table 1.3.1.1'!F50</f>
        <v>5956</v>
      </c>
      <c r="N50" s="140">
        <f>C50+G50</f>
        <v>405.59999999999997</v>
      </c>
      <c r="O50" s="140">
        <f>D50+J50</f>
        <v>358.1</v>
      </c>
      <c r="P50" s="257">
        <f>E50+L50</f>
        <v>35759</v>
      </c>
      <c r="Q50" s="93"/>
    </row>
    <row r="51" spans="1:17" ht="12.75" customHeight="1">
      <c r="A51" s="58">
        <v>1973</v>
      </c>
      <c r="B51" s="22">
        <v>1428.5</v>
      </c>
      <c r="C51" s="140">
        <v>286.89999999999998</v>
      </c>
      <c r="D51" s="140">
        <v>254.3</v>
      </c>
      <c r="E51" s="257">
        <f>'Table 1.1.8'!C20</f>
        <v>25786.75</v>
      </c>
      <c r="F51" s="140">
        <v>184</v>
      </c>
      <c r="G51" s="140">
        <f t="shared" si="2"/>
        <v>150.5</v>
      </c>
      <c r="H51" s="140">
        <v>180.1</v>
      </c>
      <c r="I51" s="140">
        <v>33.5</v>
      </c>
      <c r="J51" s="254">
        <f t="shared" si="3"/>
        <v>146.6</v>
      </c>
      <c r="K51" s="253">
        <f>SUM(L51,'Table 1.3.1.1'!G51,'Table 1.3.1.1'!H51)</f>
        <v>20961.75</v>
      </c>
      <c r="L51" s="258">
        <f>'Table 1.1.8'!D20</f>
        <v>14572.25</v>
      </c>
      <c r="M51" s="255">
        <f>'Table 1.3.1.1'!F51</f>
        <v>6389.5</v>
      </c>
      <c r="N51" s="140">
        <f>C51+G51</f>
        <v>437.4</v>
      </c>
      <c r="O51" s="140">
        <f>D51+J51</f>
        <v>400.9</v>
      </c>
      <c r="P51" s="257">
        <f>E51+L51</f>
        <v>40359</v>
      </c>
      <c r="Q51" s="93"/>
    </row>
    <row r="52" spans="1:17" ht="12.75" customHeight="1">
      <c r="A52" s="58">
        <v>1974</v>
      </c>
      <c r="B52" s="22">
        <v>1548.8</v>
      </c>
      <c r="C52" s="140">
        <v>319.10000000000002</v>
      </c>
      <c r="D52" s="140">
        <v>283.3</v>
      </c>
      <c r="E52" s="257">
        <f>'Table 1.1.8'!C21</f>
        <v>30796.275999999998</v>
      </c>
      <c r="F52" s="140">
        <v>208.1</v>
      </c>
      <c r="G52" s="140">
        <f t="shared" si="2"/>
        <v>173.2</v>
      </c>
      <c r="H52" s="140">
        <v>195.6</v>
      </c>
      <c r="I52" s="140">
        <v>34.9</v>
      </c>
      <c r="J52" s="254">
        <f t="shared" si="3"/>
        <v>160.69999999999999</v>
      </c>
      <c r="K52" s="253">
        <f>SUM(L52,'Table 1.3.1.1'!G52,'Table 1.3.1.1'!H52)</f>
        <v>24808.724000000002</v>
      </c>
      <c r="L52" s="258">
        <f>'Table 1.1.8'!D21</f>
        <v>16794.724000000002</v>
      </c>
      <c r="M52" s="255">
        <f>'Table 1.3.1.1'!F52</f>
        <v>8014</v>
      </c>
      <c r="N52" s="140">
        <f>C52+G52</f>
        <v>492.3</v>
      </c>
      <c r="O52" s="140">
        <f>D52+J52</f>
        <v>444</v>
      </c>
      <c r="P52" s="257">
        <f>E52+L52</f>
        <v>47591</v>
      </c>
      <c r="Q52" s="93"/>
    </row>
    <row r="53" spans="1:17" ht="12.75" customHeight="1">
      <c r="A53" s="58">
        <v>1975</v>
      </c>
      <c r="B53" s="22">
        <v>1688.9</v>
      </c>
      <c r="C53" s="140">
        <v>373.8</v>
      </c>
      <c r="D53" s="140">
        <v>281.7</v>
      </c>
      <c r="E53" s="257">
        <f>'Table 1.1.8'!C22</f>
        <v>36674.483</v>
      </c>
      <c r="F53" s="140">
        <v>238.8</v>
      </c>
      <c r="G53" s="140">
        <f t="shared" si="2"/>
        <v>195.20000000000002</v>
      </c>
      <c r="H53" s="140">
        <v>218.7</v>
      </c>
      <c r="I53" s="140">
        <v>43.6</v>
      </c>
      <c r="J53" s="254">
        <f t="shared" si="3"/>
        <v>175.1</v>
      </c>
      <c r="K53" s="253">
        <f>SUM(L53,'Table 1.3.1.1'!G53,'Table 1.3.1.1'!H53)</f>
        <v>27804.017</v>
      </c>
      <c r="L53" s="258">
        <f>'Table 1.1.8'!D22</f>
        <v>19351.517</v>
      </c>
      <c r="M53" s="255">
        <f>'Table 1.3.1.1'!F53</f>
        <v>8452.5</v>
      </c>
      <c r="N53" s="140">
        <f>C53+G53</f>
        <v>569</v>
      </c>
      <c r="O53" s="140">
        <f>D53+J53</f>
        <v>456.79999999999995</v>
      </c>
      <c r="P53" s="257">
        <f>E53+L53</f>
        <v>56026</v>
      </c>
      <c r="Q53" s="93"/>
    </row>
    <row r="54" spans="1:17" ht="12.75" customHeight="1">
      <c r="A54" s="58">
        <v>1976</v>
      </c>
      <c r="B54" s="22">
        <v>1877.6</v>
      </c>
      <c r="C54" s="140">
        <v>402.1</v>
      </c>
      <c r="D54" s="140">
        <v>327.8</v>
      </c>
      <c r="E54" s="257">
        <f>'Table 1.1.8'!C23</f>
        <v>43146.044999999998</v>
      </c>
      <c r="F54" s="140">
        <v>253.6</v>
      </c>
      <c r="G54" s="140">
        <f t="shared" si="2"/>
        <v>204.5</v>
      </c>
      <c r="H54" s="140">
        <v>243.9</v>
      </c>
      <c r="I54" s="140">
        <v>49.1</v>
      </c>
      <c r="J54" s="254">
        <f t="shared" si="3"/>
        <v>194.8</v>
      </c>
      <c r="K54" s="253">
        <f>SUM(L54,'Table 1.3.1.1'!G54,'Table 1.3.1.1'!H54)</f>
        <v>32733.455000000002</v>
      </c>
      <c r="L54" s="258">
        <f>'Table 1.1.8'!D23</f>
        <v>20243.955000000002</v>
      </c>
      <c r="M54" s="255">
        <f>'Table 1.3.1.1'!F54</f>
        <v>12489.5</v>
      </c>
      <c r="N54" s="140">
        <f>C54+G54</f>
        <v>606.6</v>
      </c>
      <c r="O54" s="140">
        <f>D54+J54</f>
        <v>522.6</v>
      </c>
      <c r="P54" s="257">
        <f>E54+L54</f>
        <v>63390</v>
      </c>
      <c r="Q54" s="93"/>
    </row>
    <row r="55" spans="1:17" ht="12.75" customHeight="1">
      <c r="A55" s="58">
        <v>1977</v>
      </c>
      <c r="B55" s="22">
        <v>2086</v>
      </c>
      <c r="C55" s="140">
        <v>435.4</v>
      </c>
      <c r="D55" s="140">
        <v>370.7</v>
      </c>
      <c r="E55" s="257">
        <f>'Table 1.1.8'!C24</f>
        <v>47682.574000000001</v>
      </c>
      <c r="F55" s="140">
        <v>271.5</v>
      </c>
      <c r="G55" s="140">
        <f t="shared" si="2"/>
        <v>216.7</v>
      </c>
      <c r="H55" s="140">
        <v>271</v>
      </c>
      <c r="I55" s="140">
        <v>54.8</v>
      </c>
      <c r="J55" s="254">
        <f t="shared" si="3"/>
        <v>216.2</v>
      </c>
      <c r="K55" s="253">
        <f>SUM(L55,'Table 1.3.1.1'!G55,'Table 1.3.1.1'!H55)</f>
        <v>35470.925999999999</v>
      </c>
      <c r="L55" s="258">
        <f>'Table 1.1.8'!D24</f>
        <v>23438.425999999999</v>
      </c>
      <c r="M55" s="255">
        <f>'Table 1.3.1.1'!F55</f>
        <v>12032.5</v>
      </c>
      <c r="N55" s="140">
        <f>C55+G55</f>
        <v>652.09999999999991</v>
      </c>
      <c r="O55" s="140">
        <f>D55+J55</f>
        <v>586.9</v>
      </c>
      <c r="P55" s="257">
        <f>E55+L55</f>
        <v>71121</v>
      </c>
      <c r="Q55" s="93"/>
    </row>
    <row r="56" spans="1:17" ht="12.75" customHeight="1">
      <c r="A56" s="58">
        <v>1978</v>
      </c>
      <c r="B56" s="22">
        <v>2356.6</v>
      </c>
      <c r="C56" s="140">
        <v>483.4</v>
      </c>
      <c r="D56" s="140">
        <v>428.8</v>
      </c>
      <c r="E56" s="257">
        <f>'Table 1.1.8'!C25</f>
        <v>54430.836000000003</v>
      </c>
      <c r="F56" s="140">
        <v>299</v>
      </c>
      <c r="G56" s="140">
        <f t="shared" si="2"/>
        <v>235.5</v>
      </c>
      <c r="H56" s="140">
        <v>299</v>
      </c>
      <c r="I56" s="140">
        <v>63.5</v>
      </c>
      <c r="J56" s="254">
        <f t="shared" si="3"/>
        <v>235.5</v>
      </c>
      <c r="K56" s="253">
        <f>SUM(L56,'Table 1.3.1.1'!G56,'Table 1.3.1.1'!H56)</f>
        <v>39447.664000000004</v>
      </c>
      <c r="L56" s="258">
        <f>'Table 1.1.8'!D25</f>
        <v>26521.164000000001</v>
      </c>
      <c r="M56" s="255">
        <f>'Table 1.3.1.1'!F56</f>
        <v>12926.5</v>
      </c>
      <c r="N56" s="140">
        <f>C56+G56</f>
        <v>718.9</v>
      </c>
      <c r="O56" s="140">
        <f>D56+J56</f>
        <v>664.3</v>
      </c>
      <c r="P56" s="257">
        <f>E56+L56</f>
        <v>80952</v>
      </c>
      <c r="Q56" s="93"/>
    </row>
    <row r="57" spans="1:17" ht="12.75" customHeight="1">
      <c r="A57" s="58">
        <v>1979</v>
      </c>
      <c r="B57" s="22">
        <v>2632.1</v>
      </c>
      <c r="C57" s="140">
        <v>531.29999999999995</v>
      </c>
      <c r="D57" s="140">
        <v>492.3</v>
      </c>
      <c r="E57" s="257">
        <f>'Table 1.1.8'!C26</f>
        <v>61652.44</v>
      </c>
      <c r="F57" s="140">
        <v>329.3</v>
      </c>
      <c r="G57" s="140">
        <f t="shared" si="2"/>
        <v>265.3</v>
      </c>
      <c r="H57" s="140">
        <v>322</v>
      </c>
      <c r="I57" s="140">
        <v>64</v>
      </c>
      <c r="J57" s="254">
        <f t="shared" si="3"/>
        <v>258</v>
      </c>
      <c r="K57" s="253">
        <f>SUM(L57,'Table 1.3.1.1'!G57,'Table 1.3.1.1'!H57)</f>
        <v>45163.06</v>
      </c>
      <c r="L57" s="258">
        <f>'Table 1.1.8'!D26</f>
        <v>30572.560000000001</v>
      </c>
      <c r="M57" s="255">
        <f>'Table 1.3.1.1'!F57</f>
        <v>14590.5</v>
      </c>
      <c r="N57" s="140">
        <f>C57+G57</f>
        <v>796.59999999999991</v>
      </c>
      <c r="O57" s="140">
        <f>D57+J57</f>
        <v>750.3</v>
      </c>
      <c r="P57" s="257">
        <f>E57+L57</f>
        <v>92225</v>
      </c>
      <c r="Q57" s="93"/>
    </row>
    <row r="58" spans="1:17" ht="18" customHeight="1">
      <c r="A58" s="58">
        <v>1980</v>
      </c>
      <c r="B58" s="22">
        <v>2862.5</v>
      </c>
      <c r="C58" s="140">
        <v>619.29999999999995</v>
      </c>
      <c r="D58" s="140">
        <v>539.6</v>
      </c>
      <c r="E58" s="257">
        <f>'Table 1.1.8'!C27</f>
        <v>72643.716</v>
      </c>
      <c r="F58" s="140">
        <v>364.7</v>
      </c>
      <c r="G58" s="140">
        <f t="shared" si="2"/>
        <v>295</v>
      </c>
      <c r="H58" s="140">
        <v>353.9</v>
      </c>
      <c r="I58" s="140">
        <v>69.7</v>
      </c>
      <c r="J58" s="254">
        <f t="shared" si="3"/>
        <v>284.2</v>
      </c>
      <c r="K58" s="253">
        <f>SUM(L58,'Table 1.3.1.1'!G58,'Table 1.3.1.1'!H58)</f>
        <v>51692.784</v>
      </c>
      <c r="L58" s="258">
        <f>'Table 1.1.8'!D27</f>
        <v>35240.284</v>
      </c>
      <c r="M58" s="255">
        <f>'Table 1.3.1.1'!F58</f>
        <v>16452.5</v>
      </c>
      <c r="N58" s="140">
        <f>C58+G58</f>
        <v>914.3</v>
      </c>
      <c r="O58" s="140">
        <f>D58+J58</f>
        <v>823.8</v>
      </c>
      <c r="P58" s="257">
        <f>E58+L58</f>
        <v>107884</v>
      </c>
      <c r="Q58" s="93"/>
    </row>
    <row r="59" spans="1:17" ht="12.75" customHeight="1">
      <c r="A59" s="58">
        <v>1981</v>
      </c>
      <c r="B59" s="22">
        <v>3210.9</v>
      </c>
      <c r="C59" s="140">
        <v>706.3</v>
      </c>
      <c r="D59" s="140">
        <v>627.29999999999995</v>
      </c>
      <c r="E59" s="257">
        <f>'Table 1.1.8'!C28</f>
        <v>84052.319000000003</v>
      </c>
      <c r="F59" s="140">
        <v>394.2</v>
      </c>
      <c r="G59" s="140">
        <f t="shared" si="2"/>
        <v>324.79999999999995</v>
      </c>
      <c r="H59" s="140">
        <v>384.8</v>
      </c>
      <c r="I59" s="140">
        <v>69.400000000000006</v>
      </c>
      <c r="J59" s="254">
        <f t="shared" si="3"/>
        <v>315.39999999999998</v>
      </c>
      <c r="K59" s="253">
        <f>SUM(L59,'Table 1.3.1.1'!G59,'Table 1.3.1.1'!H59)</f>
        <v>59082.680999999997</v>
      </c>
      <c r="L59" s="258">
        <f>'Table 1.1.8'!D28</f>
        <v>40425.680999999997</v>
      </c>
      <c r="M59" s="255">
        <f>'Table 1.3.1.1'!F59</f>
        <v>18657</v>
      </c>
      <c r="N59" s="140">
        <f>C59+G59</f>
        <v>1031.0999999999999</v>
      </c>
      <c r="O59" s="140">
        <f>D59+J59</f>
        <v>942.69999999999993</v>
      </c>
      <c r="P59" s="257">
        <f>E59+L59</f>
        <v>124478</v>
      </c>
      <c r="Q59" s="93"/>
    </row>
    <row r="60" spans="1:17" ht="12.75" customHeight="1">
      <c r="A60" s="58">
        <v>1982</v>
      </c>
      <c r="B60" s="22">
        <v>3345</v>
      </c>
      <c r="C60" s="140">
        <v>782.7</v>
      </c>
      <c r="D60" s="140">
        <v>625.5</v>
      </c>
      <c r="E60" s="257">
        <f>'Table 1.1.8'!C29</f>
        <v>93508.853000000003</v>
      </c>
      <c r="F60" s="140">
        <v>421.2</v>
      </c>
      <c r="G60" s="140">
        <f t="shared" si="2"/>
        <v>354.9</v>
      </c>
      <c r="H60" s="140">
        <v>405.1</v>
      </c>
      <c r="I60" s="140">
        <v>66.3</v>
      </c>
      <c r="J60" s="254">
        <f t="shared" si="3"/>
        <v>338.8</v>
      </c>
      <c r="K60" s="253">
        <f>SUM(L60,'Table 1.3.1.1'!G60,'Table 1.3.1.1'!H60)</f>
        <v>63592.646999999997</v>
      </c>
      <c r="L60" s="258">
        <f>'Table 1.1.8'!D29</f>
        <v>44406.146999999997</v>
      </c>
      <c r="M60" s="255">
        <f>'Table 1.3.1.1'!F60</f>
        <v>19186.5</v>
      </c>
      <c r="N60" s="140">
        <f>C60+G60</f>
        <v>1137.5999999999999</v>
      </c>
      <c r="O60" s="140">
        <f>D60+J60</f>
        <v>964.3</v>
      </c>
      <c r="P60" s="257">
        <f>E60+L60</f>
        <v>137915</v>
      </c>
      <c r="Q60" s="93"/>
    </row>
    <row r="61" spans="1:17" ht="12.75" customHeight="1">
      <c r="A61" s="58">
        <v>1983</v>
      </c>
      <c r="B61" s="22">
        <v>3638.1</v>
      </c>
      <c r="C61" s="140">
        <v>849.2</v>
      </c>
      <c r="D61" s="140">
        <v>650</v>
      </c>
      <c r="E61" s="257">
        <f>'Table 1.1.8'!C30</f>
        <v>103787.465</v>
      </c>
      <c r="F61" s="140">
        <v>451.8</v>
      </c>
      <c r="G61" s="140">
        <f t="shared" si="2"/>
        <v>383.9</v>
      </c>
      <c r="H61" s="140">
        <v>442.8</v>
      </c>
      <c r="I61" s="140">
        <v>67.900000000000006</v>
      </c>
      <c r="J61" s="254">
        <f t="shared" si="3"/>
        <v>374.9</v>
      </c>
      <c r="K61" s="253">
        <f>SUM(L61,'Table 1.3.1.1'!G61,'Table 1.3.1.1'!H61)</f>
        <v>68729.035000000003</v>
      </c>
      <c r="L61" s="258">
        <f>'Table 1.1.8'!D30</f>
        <v>47634.535000000003</v>
      </c>
      <c r="M61" s="255">
        <f>'Table 1.3.1.1'!F61</f>
        <v>21094.5</v>
      </c>
      <c r="N61" s="140">
        <f>C61+G61</f>
        <v>1233.0999999999999</v>
      </c>
      <c r="O61" s="140">
        <f>D61+J61</f>
        <v>1024.9000000000001</v>
      </c>
      <c r="P61" s="257">
        <f>E61+L61</f>
        <v>151422</v>
      </c>
      <c r="Q61" s="93"/>
    </row>
    <row r="62" spans="1:17" ht="12.75" customHeight="1">
      <c r="A62" s="58">
        <v>1984</v>
      </c>
      <c r="B62" s="22">
        <v>4040.7</v>
      </c>
      <c r="C62" s="140">
        <v>903</v>
      </c>
      <c r="D62" s="140">
        <v>716.6</v>
      </c>
      <c r="E62" s="257">
        <f>'Table 1.1.8'!C31</f>
        <v>114472.235</v>
      </c>
      <c r="F62" s="140">
        <v>490.4</v>
      </c>
      <c r="G62" s="140">
        <f t="shared" si="2"/>
        <v>418.09999999999997</v>
      </c>
      <c r="H62" s="140">
        <v>495.7</v>
      </c>
      <c r="I62" s="140">
        <v>72.3</v>
      </c>
      <c r="J62" s="254">
        <f t="shared" si="3"/>
        <v>423.4</v>
      </c>
      <c r="K62" s="253">
        <f>SUM(L62,'Table 1.3.1.1'!G62,'Table 1.3.1.1'!H62)</f>
        <v>73678.764999999999</v>
      </c>
      <c r="L62" s="258">
        <f>'Table 1.1.8'!D31</f>
        <v>50796.764999999999</v>
      </c>
      <c r="M62" s="255">
        <f>'Table 1.3.1.1'!F62</f>
        <v>22882</v>
      </c>
      <c r="N62" s="140">
        <f>C62+G62</f>
        <v>1321.1</v>
      </c>
      <c r="O62" s="140">
        <f>D62+J62</f>
        <v>1140</v>
      </c>
      <c r="P62" s="257">
        <f>E62+L62</f>
        <v>165269</v>
      </c>
      <c r="Q62" s="93"/>
    </row>
    <row r="63" spans="1:17" ht="12.75" customHeight="1">
      <c r="A63" s="58">
        <v>1985</v>
      </c>
      <c r="B63" s="22">
        <v>4346.7</v>
      </c>
      <c r="C63" s="140">
        <v>970.9</v>
      </c>
      <c r="D63" s="140">
        <v>781.6</v>
      </c>
      <c r="E63" s="257">
        <f>'Table 1.1.8'!C32</f>
        <v>123729.37699999999</v>
      </c>
      <c r="F63" s="140">
        <v>540.20000000000005</v>
      </c>
      <c r="G63" s="140">
        <f t="shared" si="2"/>
        <v>464.00000000000006</v>
      </c>
      <c r="H63" s="140">
        <v>538.9</v>
      </c>
      <c r="I63" s="140">
        <v>76.2</v>
      </c>
      <c r="J63" s="254">
        <f t="shared" si="3"/>
        <v>462.7</v>
      </c>
      <c r="K63" s="253">
        <f>SUM(L63,'Table 1.3.1.1'!G63,'Table 1.3.1.1'!H63)</f>
        <v>80470.622999999992</v>
      </c>
      <c r="L63" s="258">
        <f>'Table 1.1.8'!D32</f>
        <v>56064.623</v>
      </c>
      <c r="M63" s="255">
        <f>'Table 1.3.1.1'!F63</f>
        <v>24406</v>
      </c>
      <c r="N63" s="140">
        <f>C63+G63</f>
        <v>1434.9</v>
      </c>
      <c r="O63" s="140">
        <f>D63+J63</f>
        <v>1244.3</v>
      </c>
      <c r="P63" s="257">
        <f>E63+L63</f>
        <v>179794</v>
      </c>
      <c r="Q63" s="93"/>
    </row>
    <row r="64" spans="1:17" ht="12.75" customHeight="1">
      <c r="A64" s="58">
        <v>1986</v>
      </c>
      <c r="B64" s="22">
        <v>4590.1000000000004</v>
      </c>
      <c r="C64" s="140">
        <v>1030</v>
      </c>
      <c r="D64" s="140">
        <v>824.3</v>
      </c>
      <c r="E64" s="257">
        <f>'Table 1.1.8'!C33</f>
        <v>133294.04700000002</v>
      </c>
      <c r="F64" s="140">
        <v>586</v>
      </c>
      <c r="G64" s="140">
        <f t="shared" si="2"/>
        <v>503.6</v>
      </c>
      <c r="H64" s="140">
        <v>579.79999999999995</v>
      </c>
      <c r="I64" s="140">
        <v>82.4</v>
      </c>
      <c r="J64" s="254">
        <f t="shared" si="3"/>
        <v>497.4</v>
      </c>
      <c r="K64" s="253">
        <f>SUM(L64,'Table 1.3.1.1'!G64,'Table 1.3.1.1'!H64)</f>
        <v>90370.453000000009</v>
      </c>
      <c r="L64" s="258">
        <f>'Table 1.1.8'!D33</f>
        <v>63253.953000000001</v>
      </c>
      <c r="M64" s="255">
        <f>'Table 1.3.1.1'!F64</f>
        <v>27116.5</v>
      </c>
      <c r="N64" s="140">
        <f>C64+G64</f>
        <v>1533.6</v>
      </c>
      <c r="O64" s="140">
        <f>D64+J64</f>
        <v>1321.6999999999998</v>
      </c>
      <c r="P64" s="257">
        <f>E64+L64</f>
        <v>196548.00000000003</v>
      </c>
      <c r="Q64" s="93"/>
    </row>
    <row r="65" spans="1:17" ht="12.75" customHeight="1">
      <c r="A65" s="58">
        <v>1987</v>
      </c>
      <c r="B65" s="22">
        <v>4870.2</v>
      </c>
      <c r="C65" s="140">
        <v>1062.0999999999999</v>
      </c>
      <c r="D65" s="140">
        <v>906.2</v>
      </c>
      <c r="E65" s="257">
        <f>'Table 1.1.8'!C34</f>
        <v>144932.842</v>
      </c>
      <c r="F65" s="140">
        <v>625.1</v>
      </c>
      <c r="G65" s="140">
        <f t="shared" si="2"/>
        <v>546.70000000000005</v>
      </c>
      <c r="H65" s="140">
        <v>607.29999999999995</v>
      </c>
      <c r="I65" s="140">
        <v>78.400000000000006</v>
      </c>
      <c r="J65" s="254">
        <f t="shared" si="3"/>
        <v>528.9</v>
      </c>
      <c r="K65" s="253">
        <f>SUM(L65,'Table 1.3.1.1'!G65,'Table 1.3.1.1'!H65)</f>
        <v>100332.658</v>
      </c>
      <c r="L65" s="258">
        <f>'Table 1.1.8'!D34</f>
        <v>70387.157999999996</v>
      </c>
      <c r="M65" s="255">
        <f>'Table 1.3.1.1'!F65</f>
        <v>29945.5</v>
      </c>
      <c r="N65" s="140">
        <f>C65+G65</f>
        <v>1608.8</v>
      </c>
      <c r="O65" s="140">
        <f>D65+J65</f>
        <v>1435.1</v>
      </c>
      <c r="P65" s="257">
        <f>E65+L65</f>
        <v>215320</v>
      </c>
      <c r="Q65" s="93"/>
    </row>
    <row r="66" spans="1:17" ht="12.75" customHeight="1">
      <c r="A66" s="58">
        <v>1988</v>
      </c>
      <c r="B66" s="22">
        <v>5252.6</v>
      </c>
      <c r="C66" s="140">
        <v>1118.8</v>
      </c>
      <c r="D66" s="140">
        <v>969.1</v>
      </c>
      <c r="E66" s="257">
        <f>'Table 1.1.8'!C35</f>
        <v>156186.44</v>
      </c>
      <c r="F66" s="140">
        <v>669.8</v>
      </c>
      <c r="G66" s="140">
        <f t="shared" si="2"/>
        <v>584.09999999999991</v>
      </c>
      <c r="H66" s="140">
        <v>652.9</v>
      </c>
      <c r="I66" s="140">
        <v>85.7</v>
      </c>
      <c r="J66" s="254">
        <f t="shared" si="3"/>
        <v>567.19999999999993</v>
      </c>
      <c r="K66" s="253">
        <f>SUM(L66,'Table 1.3.1.1'!G66,'Table 1.3.1.1'!H66)</f>
        <v>110108.06</v>
      </c>
      <c r="L66" s="258">
        <f>'Table 1.1.8'!D35</f>
        <v>77013.56</v>
      </c>
      <c r="M66" s="255">
        <f>'Table 1.3.1.1'!F66</f>
        <v>33094.5</v>
      </c>
      <c r="N66" s="140">
        <f>C66+G66</f>
        <v>1702.8999999999999</v>
      </c>
      <c r="O66" s="140">
        <f>D66+J66</f>
        <v>1536.3</v>
      </c>
      <c r="P66" s="257">
        <f>E66+L66</f>
        <v>233200</v>
      </c>
      <c r="Q66" s="93"/>
    </row>
    <row r="67" spans="1:17" ht="12.75" customHeight="1">
      <c r="A67" s="58">
        <v>1989</v>
      </c>
      <c r="B67" s="22">
        <v>5657.7</v>
      </c>
      <c r="C67" s="140">
        <v>1197.5</v>
      </c>
      <c r="D67" s="140">
        <v>1049.7</v>
      </c>
      <c r="E67" s="257">
        <f>'Table 1.1.8'!C36</f>
        <v>174642.52</v>
      </c>
      <c r="F67" s="140">
        <v>735.6</v>
      </c>
      <c r="G67" s="140">
        <f t="shared" si="2"/>
        <v>643.80000000000007</v>
      </c>
      <c r="H67" s="140">
        <v>704.2</v>
      </c>
      <c r="I67" s="140">
        <v>91.8</v>
      </c>
      <c r="J67" s="254">
        <f t="shared" si="3"/>
        <v>612.40000000000009</v>
      </c>
      <c r="K67" s="253">
        <f>SUM(L67,'Table 1.3.1.1'!G67,'Table 1.3.1.1'!H67)</f>
        <v>122820.48000000001</v>
      </c>
      <c r="L67" s="258">
        <f>'Table 1.1.8'!D36</f>
        <v>85312.48000000001</v>
      </c>
      <c r="M67" s="255">
        <f>'Table 1.3.1.1'!F67</f>
        <v>37508</v>
      </c>
      <c r="N67" s="140">
        <f>C67+G67</f>
        <v>1841.3000000000002</v>
      </c>
      <c r="O67" s="140">
        <f>D67+J67</f>
        <v>1662.1000000000001</v>
      </c>
      <c r="P67" s="257">
        <f>E67+L67</f>
        <v>259955</v>
      </c>
      <c r="Q67" s="93"/>
    </row>
    <row r="68" spans="1:17" ht="18" customHeight="1">
      <c r="A68" s="58">
        <v>1990</v>
      </c>
      <c r="B68" s="22">
        <v>5979.6</v>
      </c>
      <c r="C68" s="140">
        <v>1286.5999999999999</v>
      </c>
      <c r="D68" s="140">
        <v>1097.3</v>
      </c>
      <c r="E68" s="257">
        <f>'Table 1.1.8'!C37</f>
        <v>195312.28</v>
      </c>
      <c r="F68" s="140">
        <v>807.2</v>
      </c>
      <c r="G68" s="140">
        <f t="shared" si="2"/>
        <v>702.80000000000007</v>
      </c>
      <c r="H68" s="140">
        <v>754.6</v>
      </c>
      <c r="I68" s="140">
        <v>104.4</v>
      </c>
      <c r="J68" s="254">
        <f t="shared" si="3"/>
        <v>650.20000000000005</v>
      </c>
      <c r="K68" s="253">
        <f>SUM(L68,'Table 1.3.1.1'!G68,'Table 1.3.1.1'!H68)</f>
        <v>141725.22</v>
      </c>
      <c r="L68" s="258">
        <f>'Table 1.1.8'!D37</f>
        <v>96099.72</v>
      </c>
      <c r="M68" s="255">
        <f>'Table 1.3.1.1'!F68</f>
        <v>45625.5</v>
      </c>
      <c r="N68" s="140">
        <f>C68+G68</f>
        <v>1989.4</v>
      </c>
      <c r="O68" s="140">
        <f>D68+J68</f>
        <v>1747.5</v>
      </c>
      <c r="P68" s="257">
        <f>E68+L68</f>
        <v>291412</v>
      </c>
      <c r="Q68" s="93"/>
    </row>
    <row r="69" spans="1:17" ht="12.75" customHeight="1">
      <c r="A69" s="58">
        <v>1991</v>
      </c>
      <c r="B69" s="22">
        <v>6174</v>
      </c>
      <c r="C69" s="140">
        <v>1351.8</v>
      </c>
      <c r="D69" s="140">
        <v>1116.5999999999999</v>
      </c>
      <c r="E69" s="257">
        <f>'Table 1.1.8'!C38</f>
        <v>224812.01800000001</v>
      </c>
      <c r="F69" s="140">
        <v>876.9</v>
      </c>
      <c r="G69" s="140">
        <f t="shared" si="2"/>
        <v>752.9</v>
      </c>
      <c r="H69" s="140">
        <v>805.3</v>
      </c>
      <c r="I69" s="140">
        <v>124</v>
      </c>
      <c r="J69" s="254">
        <f t="shared" si="3"/>
        <v>681.3</v>
      </c>
      <c r="K69" s="253">
        <f>SUM(L69,'Table 1.3.1.1'!G69,'Table 1.3.1.1'!H69)</f>
        <v>165914.48200000002</v>
      </c>
      <c r="L69" s="258">
        <f>'Table 1.1.8'!D38</f>
        <v>105647.982</v>
      </c>
      <c r="M69" s="255">
        <f>'Table 1.3.1.1'!F69</f>
        <v>60266.5</v>
      </c>
      <c r="N69" s="140">
        <f>C69+G69</f>
        <v>2104.6999999999998</v>
      </c>
      <c r="O69" s="140">
        <f>D69+J69</f>
        <v>1797.8999999999999</v>
      </c>
      <c r="P69" s="257">
        <f>E69+L69</f>
        <v>330460</v>
      </c>
      <c r="Q69" s="93"/>
    </row>
    <row r="70" spans="1:17" ht="12.75" customHeight="1">
      <c r="A70" s="58">
        <v>1992</v>
      </c>
      <c r="B70" s="22">
        <v>6539.3</v>
      </c>
      <c r="C70" s="140">
        <v>1484.7</v>
      </c>
      <c r="D70" s="140">
        <v>1163.4000000000001</v>
      </c>
      <c r="E70" s="257">
        <f>'Table 1.1.8'!C39</f>
        <v>254681.1</v>
      </c>
      <c r="F70" s="140">
        <v>944.5</v>
      </c>
      <c r="G70" s="140">
        <f t="shared" si="2"/>
        <v>802.8</v>
      </c>
      <c r="H70" s="140">
        <v>862.5</v>
      </c>
      <c r="I70" s="140">
        <v>141.69999999999999</v>
      </c>
      <c r="J70" s="254">
        <f t="shared" si="3"/>
        <v>720.8</v>
      </c>
      <c r="K70" s="253">
        <f>SUM(L70,'Table 1.3.1.1'!G70,'Table 1.3.1.1'!H70)</f>
        <v>186093.9</v>
      </c>
      <c r="L70" s="258">
        <f>'Table 1.1.8'!D39</f>
        <v>113751.9</v>
      </c>
      <c r="M70" s="255">
        <f>'Table 1.3.1.1'!F70</f>
        <v>72342</v>
      </c>
      <c r="N70" s="140">
        <f>C70+G70</f>
        <v>2287.5</v>
      </c>
      <c r="O70" s="140">
        <f>D70+J70</f>
        <v>1884.2</v>
      </c>
      <c r="P70" s="257">
        <f>E70+L70</f>
        <v>368433</v>
      </c>
      <c r="Q70" s="93"/>
    </row>
    <row r="71" spans="1:17" ht="12.75" customHeight="1">
      <c r="A71" s="58">
        <v>1993</v>
      </c>
      <c r="B71" s="22">
        <v>6878.7</v>
      </c>
      <c r="C71" s="140">
        <v>1540.6</v>
      </c>
      <c r="D71" s="140">
        <v>1241.7</v>
      </c>
      <c r="E71" s="257">
        <f>'Table 1.1.8'!C40</f>
        <v>281765.91800000001</v>
      </c>
      <c r="F71" s="140">
        <v>983</v>
      </c>
      <c r="G71" s="140">
        <f t="shared" si="2"/>
        <v>827.3</v>
      </c>
      <c r="H71" s="140">
        <v>905.3</v>
      </c>
      <c r="I71" s="140">
        <v>155.69999999999999</v>
      </c>
      <c r="J71" s="254">
        <f t="shared" si="3"/>
        <v>749.59999999999991</v>
      </c>
      <c r="K71" s="253">
        <f>SUM(L71,'Table 1.3.1.1'!G71,'Table 1.3.1.1'!H71)</f>
        <v>205571.08199999999</v>
      </c>
      <c r="L71" s="258">
        <f>'Table 1.1.8'!D40</f>
        <v>124549.08199999999</v>
      </c>
      <c r="M71" s="255">
        <f>'Table 1.3.1.1'!F71</f>
        <v>81022</v>
      </c>
      <c r="N71" s="140">
        <f>C71+G71</f>
        <v>2367.8999999999996</v>
      </c>
      <c r="O71" s="140">
        <f>D71+J71</f>
        <v>1991.3</v>
      </c>
      <c r="P71" s="257">
        <f>E71+L71</f>
        <v>406315</v>
      </c>
      <c r="Q71" s="93"/>
    </row>
    <row r="72" spans="1:17" ht="12.75" customHeight="1">
      <c r="A72" s="58">
        <v>1994</v>
      </c>
      <c r="B72" s="22">
        <v>7308.7</v>
      </c>
      <c r="C72" s="140">
        <v>1580.4</v>
      </c>
      <c r="D72" s="140">
        <v>1341.8</v>
      </c>
      <c r="E72" s="257">
        <f>'Table 1.1.8'!C41</f>
        <v>306331.79700000002</v>
      </c>
      <c r="F72" s="140">
        <v>1033.0999999999999</v>
      </c>
      <c r="G72" s="140">
        <f t="shared" ref="G72:G98" si="4">F72-I72</f>
        <v>866.3</v>
      </c>
      <c r="H72" s="140">
        <v>964</v>
      </c>
      <c r="I72" s="140">
        <v>166.8</v>
      </c>
      <c r="J72" s="254">
        <f t="shared" ref="J72:J98" si="5">H72-I72</f>
        <v>797.2</v>
      </c>
      <c r="K72" s="253">
        <f>SUM(L72,'Table 1.3.1.1'!G72,'Table 1.3.1.1'!H72)</f>
        <v>221500.20300000001</v>
      </c>
      <c r="L72" s="258">
        <f>'Table 1.1.8'!D41</f>
        <v>136074.20300000001</v>
      </c>
      <c r="M72" s="255">
        <f>'Table 1.3.1.1'!F72</f>
        <v>85426</v>
      </c>
      <c r="N72" s="140">
        <f>C72+G72</f>
        <v>2446.6999999999998</v>
      </c>
      <c r="O72" s="140">
        <f>D72+J72</f>
        <v>2139</v>
      </c>
      <c r="P72" s="257">
        <f>E72+L72</f>
        <v>442406</v>
      </c>
      <c r="Q72" s="93"/>
    </row>
    <row r="73" spans="1:17" ht="12.75" customHeight="1">
      <c r="A73" s="58">
        <v>1995</v>
      </c>
      <c r="B73" s="22">
        <v>7664</v>
      </c>
      <c r="C73" s="140">
        <v>1653.7</v>
      </c>
      <c r="D73" s="140">
        <v>1427.8</v>
      </c>
      <c r="E73" s="257">
        <f>'Table 1.1.8'!C42</f>
        <v>329462.636</v>
      </c>
      <c r="F73" s="140">
        <v>1089.7</v>
      </c>
      <c r="G73" s="140">
        <f t="shared" si="4"/>
        <v>915.2</v>
      </c>
      <c r="H73" s="140">
        <v>1012.2</v>
      </c>
      <c r="I73" s="140">
        <v>174.5</v>
      </c>
      <c r="J73" s="254">
        <f t="shared" si="5"/>
        <v>837.7</v>
      </c>
      <c r="K73" s="253">
        <f>SUM(L73,'Table 1.3.1.1'!G73,'Table 1.3.1.1'!H73)</f>
        <v>233366.864</v>
      </c>
      <c r="L73" s="258">
        <f>'Table 1.1.8'!D42</f>
        <v>142332.364</v>
      </c>
      <c r="M73" s="255">
        <f>'Table 1.3.1.1'!F73</f>
        <v>91034.5</v>
      </c>
      <c r="N73" s="140">
        <f>C73+G73</f>
        <v>2568.9</v>
      </c>
      <c r="O73" s="140">
        <f>D73+J73</f>
        <v>2265.5</v>
      </c>
      <c r="P73" s="257">
        <f>E73+L73</f>
        <v>471795</v>
      </c>
      <c r="Q73" s="93"/>
    </row>
    <row r="74" spans="1:17" ht="12.75" customHeight="1">
      <c r="A74" s="58">
        <v>1996</v>
      </c>
      <c r="B74" s="22">
        <v>8100.2</v>
      </c>
      <c r="C74" s="140">
        <v>1709.7</v>
      </c>
      <c r="D74" s="140">
        <v>1548.6</v>
      </c>
      <c r="E74" s="257">
        <f>'Table 1.1.8'!C43</f>
        <v>349250.65</v>
      </c>
      <c r="F74" s="140">
        <v>1128.5999999999999</v>
      </c>
      <c r="G74" s="140">
        <f t="shared" si="4"/>
        <v>947.09999999999991</v>
      </c>
      <c r="H74" s="140">
        <v>1066.4000000000001</v>
      </c>
      <c r="I74" s="140">
        <v>181.5</v>
      </c>
      <c r="J74" s="254">
        <f t="shared" si="5"/>
        <v>884.90000000000009</v>
      </c>
      <c r="K74" s="253">
        <f>SUM(L74,'Table 1.3.1.1'!G74,'Table 1.3.1.1'!H74)</f>
        <v>241905.35</v>
      </c>
      <c r="L74" s="258">
        <f>'Table 1.1.8'!D43</f>
        <v>146265.35</v>
      </c>
      <c r="M74" s="255">
        <f>'Table 1.3.1.1'!F74</f>
        <v>95640</v>
      </c>
      <c r="N74" s="140">
        <f>C74+G74</f>
        <v>2656.8</v>
      </c>
      <c r="O74" s="140">
        <f>D74+J74</f>
        <v>2433.5</v>
      </c>
      <c r="P74" s="257">
        <f>E74+L74</f>
        <v>495516</v>
      </c>
      <c r="Q74" s="93"/>
    </row>
    <row r="75" spans="1:17" ht="12.75" customHeight="1">
      <c r="A75" s="58">
        <v>1997</v>
      </c>
      <c r="B75" s="22">
        <v>8608.5</v>
      </c>
      <c r="C75" s="140">
        <v>1752.8</v>
      </c>
      <c r="D75" s="140">
        <v>1682.2</v>
      </c>
      <c r="E75" s="257">
        <f>'Table 1.1.8'!C44</f>
        <v>365753.24</v>
      </c>
      <c r="F75" s="140">
        <v>1179</v>
      </c>
      <c r="G75" s="140">
        <f t="shared" si="4"/>
        <v>990.9</v>
      </c>
      <c r="H75" s="140">
        <v>1121</v>
      </c>
      <c r="I75" s="140">
        <v>188.1</v>
      </c>
      <c r="J75" s="254">
        <f t="shared" si="5"/>
        <v>932.9</v>
      </c>
      <c r="K75" s="253">
        <f>SUM(L75,'Table 1.3.1.1'!G75,'Table 1.3.1.1'!H75)</f>
        <v>253722.26</v>
      </c>
      <c r="L75" s="258">
        <f>'Table 1.1.8'!D44</f>
        <v>154757.76000000001</v>
      </c>
      <c r="M75" s="255">
        <f>'Table 1.3.1.1'!F75</f>
        <v>98964.5</v>
      </c>
      <c r="N75" s="140">
        <f>C75+G75</f>
        <v>2743.7</v>
      </c>
      <c r="O75" s="140">
        <f>D75+J75</f>
        <v>2615.1</v>
      </c>
      <c r="P75" s="257">
        <f>E75+L75</f>
        <v>520511</v>
      </c>
      <c r="Q75" s="93"/>
    </row>
    <row r="76" spans="1:17" ht="12.75" customHeight="1">
      <c r="A76" s="58">
        <v>1998</v>
      </c>
      <c r="B76" s="22">
        <v>9089.1</v>
      </c>
      <c r="C76" s="140">
        <v>1781</v>
      </c>
      <c r="D76" s="140">
        <v>1808.9</v>
      </c>
      <c r="E76" s="257">
        <f>'Table 1.1.8'!C45</f>
        <v>372864.66</v>
      </c>
      <c r="F76" s="140">
        <v>1232.9000000000001</v>
      </c>
      <c r="G76" s="140">
        <f t="shared" si="4"/>
        <v>1032.1000000000001</v>
      </c>
      <c r="H76" s="140">
        <v>1184.7</v>
      </c>
      <c r="I76" s="140">
        <v>200.8</v>
      </c>
      <c r="J76" s="254">
        <f t="shared" si="5"/>
        <v>983.90000000000009</v>
      </c>
      <c r="K76" s="253">
        <f>SUM(L76,'Table 1.3.1.1'!G76,'Table 1.3.1.1'!H76)</f>
        <v>267032.33999999997</v>
      </c>
      <c r="L76" s="258">
        <f>'Table 1.1.8'!D45</f>
        <v>163108.34</v>
      </c>
      <c r="M76" s="255">
        <f>'Table 1.3.1.1'!F76</f>
        <v>103924</v>
      </c>
      <c r="N76" s="140">
        <f>C76+G76</f>
        <v>2813.1000000000004</v>
      </c>
      <c r="O76" s="140">
        <f>D76+J76</f>
        <v>2792.8</v>
      </c>
      <c r="P76" s="257">
        <f>E76+L76</f>
        <v>535973</v>
      </c>
      <c r="Q76" s="93"/>
    </row>
    <row r="77" spans="1:17" ht="12.75" customHeight="1">
      <c r="A77" s="58">
        <v>1999</v>
      </c>
      <c r="B77" s="22">
        <v>9665.7000000000007</v>
      </c>
      <c r="C77" s="140">
        <v>1834.2</v>
      </c>
      <c r="D77" s="140">
        <v>1929.5</v>
      </c>
      <c r="E77" s="257">
        <f>'Table 1.1.8'!C46</f>
        <v>390941.72200000001</v>
      </c>
      <c r="F77" s="140">
        <v>1326.7</v>
      </c>
      <c r="G77" s="140">
        <f t="shared" si="4"/>
        <v>1107.5</v>
      </c>
      <c r="H77" s="140">
        <v>1261.8</v>
      </c>
      <c r="I77" s="140">
        <v>219.2</v>
      </c>
      <c r="J77" s="254">
        <f t="shared" si="5"/>
        <v>1042.5999999999999</v>
      </c>
      <c r="K77" s="253">
        <f>SUM(L77,'Table 1.3.1.1'!G77,'Table 1.3.1.1'!H77)</f>
        <v>287250.77799999999</v>
      </c>
      <c r="L77" s="258">
        <f>'Table 1.1.8'!D46</f>
        <v>173626.27799999999</v>
      </c>
      <c r="M77" s="255">
        <f>'Table 1.3.1.1'!F77</f>
        <v>113624.5</v>
      </c>
      <c r="N77" s="140">
        <f>C77+G77</f>
        <v>2941.7</v>
      </c>
      <c r="O77" s="140">
        <f>D77+J77</f>
        <v>2972.1</v>
      </c>
      <c r="P77" s="257">
        <f>E77+L77</f>
        <v>564568</v>
      </c>
      <c r="Q77" s="93"/>
    </row>
    <row r="78" spans="1:17" ht="18" customHeight="1">
      <c r="A78" s="58">
        <v>2000</v>
      </c>
      <c r="B78" s="22">
        <v>10289.700000000001</v>
      </c>
      <c r="C78" s="140">
        <v>1907.3</v>
      </c>
      <c r="D78" s="140">
        <v>2091.3000000000002</v>
      </c>
      <c r="E78" s="257">
        <f>'Table 1.1.8'!C47</f>
        <v>418687.27600000001</v>
      </c>
      <c r="F78" s="140">
        <v>1418.5</v>
      </c>
      <c r="G78" s="140">
        <f t="shared" si="4"/>
        <v>1185.4000000000001</v>
      </c>
      <c r="H78" s="140">
        <v>1347.3</v>
      </c>
      <c r="I78" s="140">
        <v>233.1</v>
      </c>
      <c r="J78" s="254">
        <f t="shared" si="5"/>
        <v>1114.2</v>
      </c>
      <c r="K78" s="253">
        <f>SUM(L78,'Table 1.3.1.1'!G78,'Table 1.3.1.1'!H78)</f>
        <v>311522.22399999999</v>
      </c>
      <c r="L78" s="258">
        <f>'Table 1.1.8'!D47</f>
        <v>186211.72399999999</v>
      </c>
      <c r="M78" s="255">
        <f>'Table 1.3.1.1'!F78</f>
        <v>125310.5</v>
      </c>
      <c r="N78" s="140">
        <f>C78+G78</f>
        <v>3092.7</v>
      </c>
      <c r="O78" s="140">
        <f>D78+J78</f>
        <v>3205.5</v>
      </c>
      <c r="P78" s="257">
        <f>E78+L78</f>
        <v>604899</v>
      </c>
      <c r="Q78" s="93"/>
    </row>
    <row r="79" spans="1:17" ht="12.75" customHeight="1">
      <c r="A79" s="58">
        <v>2001</v>
      </c>
      <c r="B79" s="22">
        <v>10625.3</v>
      </c>
      <c r="C79" s="140">
        <v>2012.8</v>
      </c>
      <c r="D79" s="140">
        <v>2054.8000000000002</v>
      </c>
      <c r="E79" s="257">
        <f>'Table 1.1.8'!C48</f>
        <v>466477.32</v>
      </c>
      <c r="F79" s="140">
        <v>1554.8</v>
      </c>
      <c r="G79" s="140">
        <f t="shared" si="4"/>
        <v>1293.5</v>
      </c>
      <c r="H79" s="140">
        <v>1404.4</v>
      </c>
      <c r="I79" s="140">
        <v>261.3</v>
      </c>
      <c r="J79" s="254">
        <f t="shared" si="5"/>
        <v>1143.1000000000001</v>
      </c>
      <c r="K79" s="253">
        <f>SUM(L79,'Table 1.3.1.1'!G79,'Table 1.3.1.1'!H79)</f>
        <v>347166.68</v>
      </c>
      <c r="L79" s="258">
        <f>'Table 1.1.8'!D48</f>
        <v>204434.68</v>
      </c>
      <c r="M79" s="255">
        <f>'Table 1.3.1.1'!F79</f>
        <v>142732</v>
      </c>
      <c r="N79" s="140">
        <f>C79+G79</f>
        <v>3306.3</v>
      </c>
      <c r="O79" s="140">
        <f>D79+J79</f>
        <v>3197.9000000000005</v>
      </c>
      <c r="P79" s="257">
        <f>E79+L79</f>
        <v>670912</v>
      </c>
      <c r="Q79" s="93"/>
    </row>
    <row r="80" spans="1:17" ht="12.75" customHeight="1">
      <c r="A80" s="58">
        <v>2002</v>
      </c>
      <c r="B80" s="22">
        <v>10980.2</v>
      </c>
      <c r="C80" s="140">
        <v>2136.6999999999998</v>
      </c>
      <c r="D80" s="140">
        <v>1891.1</v>
      </c>
      <c r="E80" s="257">
        <f>'Table 1.1.8'!C49</f>
        <v>509657.24</v>
      </c>
      <c r="F80" s="140">
        <v>1654.8</v>
      </c>
      <c r="G80" s="140">
        <f t="shared" si="4"/>
        <v>1367.6</v>
      </c>
      <c r="H80" s="140">
        <v>1441.3</v>
      </c>
      <c r="I80" s="140">
        <v>287.2</v>
      </c>
      <c r="J80" s="254">
        <f t="shared" si="5"/>
        <v>1154.0999999999999</v>
      </c>
      <c r="K80" s="253">
        <f>SUM(L80,'Table 1.3.1.1'!G80,'Table 1.3.1.1'!H80)</f>
        <v>382550.76</v>
      </c>
      <c r="L80" s="258">
        <f>'Table 1.1.8'!D49</f>
        <v>225193.76</v>
      </c>
      <c r="M80" s="255">
        <f>'Table 1.3.1.1'!F80</f>
        <v>157357</v>
      </c>
      <c r="N80" s="140">
        <f>C80+G80</f>
        <v>3504.2999999999997</v>
      </c>
      <c r="O80" s="140">
        <f>D80+J80</f>
        <v>3045.2</v>
      </c>
      <c r="P80" s="257">
        <f>E80+L80</f>
        <v>734851</v>
      </c>
      <c r="Q80" s="93"/>
    </row>
    <row r="81" spans="1:17" ht="12.75" customHeight="1">
      <c r="A81" s="58">
        <v>2003</v>
      </c>
      <c r="B81" s="22">
        <v>11512.2</v>
      </c>
      <c r="C81" s="140">
        <v>2293.5</v>
      </c>
      <c r="D81" s="140">
        <v>1911.9</v>
      </c>
      <c r="E81" s="257">
        <f>'Table 1.1.8'!C50</f>
        <v>554858.5</v>
      </c>
      <c r="F81" s="140">
        <v>1741.8</v>
      </c>
      <c r="G81" s="140">
        <f t="shared" si="4"/>
        <v>1420.1</v>
      </c>
      <c r="H81" s="140">
        <v>1526.6</v>
      </c>
      <c r="I81" s="140">
        <v>321.7</v>
      </c>
      <c r="J81" s="254">
        <f t="shared" si="5"/>
        <v>1204.8999999999999</v>
      </c>
      <c r="K81" s="253">
        <f>SUM(L81,'Table 1.3.1.1'!G81,'Table 1.3.1.1'!H81)</f>
        <v>413149</v>
      </c>
      <c r="L81" s="258">
        <f>'Table 1.1.8'!D50</f>
        <v>238923.5</v>
      </c>
      <c r="M81" s="255">
        <f>'Table 1.3.1.1'!F81</f>
        <v>174225.5</v>
      </c>
      <c r="N81" s="140">
        <f>C81+G81</f>
        <v>3713.6</v>
      </c>
      <c r="O81" s="140">
        <f>D81+J81</f>
        <v>3116.8</v>
      </c>
      <c r="P81" s="257">
        <f>E81+L81</f>
        <v>793782</v>
      </c>
      <c r="Q81" s="93"/>
    </row>
    <row r="82" spans="1:17" ht="12.75" customHeight="1">
      <c r="A82" s="58">
        <v>2004</v>
      </c>
      <c r="B82" s="22">
        <v>12277</v>
      </c>
      <c r="C82" s="140">
        <v>2422</v>
      </c>
      <c r="D82" s="140">
        <v>2046.8</v>
      </c>
      <c r="E82" s="257">
        <f>'Table 1.1.8'!C51</f>
        <v>602532.95600000001</v>
      </c>
      <c r="F82" s="140">
        <v>1832.9</v>
      </c>
      <c r="G82" s="140">
        <f t="shared" si="4"/>
        <v>1500.7</v>
      </c>
      <c r="H82" s="140">
        <v>1627.5</v>
      </c>
      <c r="I82" s="140">
        <v>332.2</v>
      </c>
      <c r="J82" s="254">
        <f t="shared" si="5"/>
        <v>1295.3</v>
      </c>
      <c r="K82" s="253">
        <f>SUM(L82,'Table 1.3.1.1'!G82,'Table 1.3.1.1'!H82)</f>
        <v>441438.04399999999</v>
      </c>
      <c r="L82" s="258">
        <f>'Table 1.1.8'!D51</f>
        <v>254111.04399999999</v>
      </c>
      <c r="M82" s="255">
        <f>'Table 1.3.1.1'!F82</f>
        <v>187327</v>
      </c>
      <c r="N82" s="140">
        <f>C82+G82</f>
        <v>3922.7</v>
      </c>
      <c r="O82" s="140">
        <f>D82+J82</f>
        <v>3342.1</v>
      </c>
      <c r="P82" s="257">
        <f>E82+L82</f>
        <v>856644</v>
      </c>
      <c r="Q82" s="93"/>
    </row>
    <row r="83" spans="1:17" ht="12.75" customHeight="1">
      <c r="A83" s="58">
        <v>2005</v>
      </c>
      <c r="B83" s="22">
        <v>13095.4</v>
      </c>
      <c r="C83" s="140">
        <v>2603.5</v>
      </c>
      <c r="D83" s="140">
        <v>2323.1</v>
      </c>
      <c r="E83" s="257">
        <f>'Table 1.1.8'!C52</f>
        <v>642629.99100000004</v>
      </c>
      <c r="F83" s="140">
        <v>1925.3</v>
      </c>
      <c r="G83" s="140">
        <f t="shared" si="4"/>
        <v>1581.9</v>
      </c>
      <c r="H83" s="140">
        <v>1765.6</v>
      </c>
      <c r="I83" s="140">
        <v>343.4</v>
      </c>
      <c r="J83" s="254">
        <f t="shared" si="5"/>
        <v>1422.1999999999998</v>
      </c>
      <c r="K83" s="253">
        <f>SUM(L83,'Table 1.3.1.1'!G83,'Table 1.3.1.1'!H83)</f>
        <v>468703.00899999996</v>
      </c>
      <c r="L83" s="258">
        <f>'Table 1.1.8'!D52</f>
        <v>274634.00899999996</v>
      </c>
      <c r="M83" s="255">
        <f>'Table 1.3.1.1'!F83</f>
        <v>194069</v>
      </c>
      <c r="N83" s="140">
        <f>C83+G83</f>
        <v>4185.3999999999996</v>
      </c>
      <c r="O83" s="140">
        <f>D83+J83</f>
        <v>3745.2999999999997</v>
      </c>
      <c r="P83" s="257">
        <f>E83+L83</f>
        <v>917264</v>
      </c>
      <c r="Q83" s="93"/>
    </row>
    <row r="84" spans="1:17" ht="12.75" customHeight="1">
      <c r="A84" s="58">
        <v>2006</v>
      </c>
      <c r="B84" s="22">
        <v>13857.9</v>
      </c>
      <c r="C84" s="140">
        <v>2759.8</v>
      </c>
      <c r="D84" s="140">
        <v>2559.6</v>
      </c>
      <c r="E84" s="257">
        <f>'Table 1.1.8'!C53</f>
        <v>709214.82</v>
      </c>
      <c r="F84" s="140">
        <v>2005.3</v>
      </c>
      <c r="G84" s="140">
        <f t="shared" si="4"/>
        <v>1664.5</v>
      </c>
      <c r="H84" s="140">
        <v>1868.7</v>
      </c>
      <c r="I84" s="140">
        <v>340.8</v>
      </c>
      <c r="J84" s="254">
        <f t="shared" si="5"/>
        <v>1527.9</v>
      </c>
      <c r="K84" s="253">
        <f>SUM(L84,'Table 1.3.1.1'!G84,'Table 1.3.1.1'!H84)</f>
        <v>474688.68</v>
      </c>
      <c r="L84" s="258">
        <f>'Table 1.1.8'!D53</f>
        <v>283410.18</v>
      </c>
      <c r="M84" s="255">
        <f>'Table 1.3.1.1'!F84</f>
        <v>191278.5</v>
      </c>
      <c r="N84" s="140">
        <f>C84+G84</f>
        <v>4424.3</v>
      </c>
      <c r="O84" s="140">
        <f>D84+J84</f>
        <v>4087.5</v>
      </c>
      <c r="P84" s="257">
        <f>E84+L84</f>
        <v>992625</v>
      </c>
      <c r="Q84" s="93"/>
    </row>
    <row r="85" spans="1:17" ht="12.75" customHeight="1">
      <c r="A85" s="58">
        <v>2007</v>
      </c>
      <c r="B85" s="22">
        <v>14480.3</v>
      </c>
      <c r="C85" s="140">
        <v>2927.5</v>
      </c>
      <c r="D85" s="140">
        <v>2687.3</v>
      </c>
      <c r="E85" s="257">
        <f>'Table 1.1.8'!C54</f>
        <v>756889.22</v>
      </c>
      <c r="F85" s="140">
        <v>2141.1999999999998</v>
      </c>
      <c r="G85" s="140">
        <f t="shared" si="4"/>
        <v>1782.1999999999998</v>
      </c>
      <c r="H85" s="140">
        <v>1959.9</v>
      </c>
      <c r="I85" s="140">
        <v>359</v>
      </c>
      <c r="J85" s="254">
        <f t="shared" si="5"/>
        <v>1600.9</v>
      </c>
      <c r="K85" s="253">
        <f>SUM(L85,'Table 1.3.1.1'!G85,'Table 1.3.1.1'!H85)</f>
        <v>503101.78</v>
      </c>
      <c r="L85" s="258">
        <f>'Table 1.1.8'!D54</f>
        <v>300207.78000000003</v>
      </c>
      <c r="M85" s="255">
        <f>'Table 1.3.1.1'!F85</f>
        <v>202894</v>
      </c>
      <c r="N85" s="140">
        <f>C85+G85</f>
        <v>4709.7</v>
      </c>
      <c r="O85" s="140">
        <f>D85+J85</f>
        <v>4288.2000000000007</v>
      </c>
      <c r="P85" s="257">
        <f>E85+L85</f>
        <v>1057097</v>
      </c>
      <c r="Q85" s="93"/>
    </row>
    <row r="86" spans="1:17" ht="12.75" customHeight="1">
      <c r="A86" s="58">
        <v>2008</v>
      </c>
      <c r="B86" s="22">
        <v>14720.3</v>
      </c>
      <c r="C86" s="140">
        <v>3140.8</v>
      </c>
      <c r="D86" s="140">
        <v>2534</v>
      </c>
      <c r="E86" s="257">
        <f>'Table 1.1.8'!C55</f>
        <v>818868.46200000006</v>
      </c>
      <c r="F86" s="140">
        <v>2246.6</v>
      </c>
      <c r="G86" s="140">
        <f t="shared" si="4"/>
        <v>1875.6</v>
      </c>
      <c r="H86" s="140">
        <v>1972.3</v>
      </c>
      <c r="I86" s="140">
        <v>371</v>
      </c>
      <c r="J86" s="254">
        <f t="shared" si="5"/>
        <v>1601.3</v>
      </c>
      <c r="K86" s="253">
        <f>SUM(L86,'Table 1.3.1.1'!G86,'Table 1.3.1.1'!H86)</f>
        <v>528194.03799999994</v>
      </c>
      <c r="L86" s="258">
        <f>'Table 1.1.8'!D55</f>
        <v>307670.538</v>
      </c>
      <c r="M86" s="255">
        <f>'Table 1.3.1.1'!F86</f>
        <v>220523.5</v>
      </c>
      <c r="N86" s="140">
        <f>C86+G86</f>
        <v>5016.3999999999996</v>
      </c>
      <c r="O86" s="140">
        <f>D86+J86</f>
        <v>4135.3</v>
      </c>
      <c r="P86" s="257">
        <f>E86+L86</f>
        <v>1126539</v>
      </c>
      <c r="Q86" s="93"/>
    </row>
    <row r="87" spans="1:17" ht="12.75" customHeight="1">
      <c r="A87" s="58">
        <v>2009</v>
      </c>
      <c r="B87" s="22">
        <v>14417.9</v>
      </c>
      <c r="C87" s="140">
        <v>3479.9</v>
      </c>
      <c r="D87" s="140">
        <v>2250.6999999999998</v>
      </c>
      <c r="E87" s="257">
        <f>'Table 1.1.8'!C56</f>
        <v>908610.50699999998</v>
      </c>
      <c r="F87" s="140">
        <v>2358.3000000000002</v>
      </c>
      <c r="G87" s="140">
        <f t="shared" si="4"/>
        <v>1900.2000000000003</v>
      </c>
      <c r="H87" s="140">
        <v>1987</v>
      </c>
      <c r="I87" s="140">
        <v>458.1</v>
      </c>
      <c r="J87" s="254">
        <f t="shared" si="5"/>
        <v>1528.9</v>
      </c>
      <c r="K87" s="253">
        <f>SUM(L87,'Table 1.3.1.1'!G87,'Table 1.3.1.1'!H87)</f>
        <v>557555.99300000002</v>
      </c>
      <c r="L87" s="258">
        <f>'Table 1.1.8'!D56</f>
        <v>292050.49300000002</v>
      </c>
      <c r="M87" s="255">
        <f>'Table 1.3.1.1'!F87</f>
        <v>265505.5</v>
      </c>
      <c r="N87" s="140">
        <f>C87+G87</f>
        <v>5380.1</v>
      </c>
      <c r="O87" s="140">
        <f>D87+J87</f>
        <v>3779.6</v>
      </c>
      <c r="P87" s="257">
        <f>E87+L87</f>
        <v>1200661</v>
      </c>
      <c r="Q87" s="93"/>
    </row>
    <row r="88" spans="1:17" ht="18" customHeight="1">
      <c r="A88" s="58">
        <v>2010</v>
      </c>
      <c r="B88" s="22">
        <v>14958.3</v>
      </c>
      <c r="C88" s="140">
        <v>3721.3</v>
      </c>
      <c r="D88" s="140">
        <v>2406.8000000000002</v>
      </c>
      <c r="E88" s="257">
        <f>'Table 1.1.8'!C57</f>
        <v>961682.25600000005</v>
      </c>
      <c r="F88" s="140">
        <v>2385.5</v>
      </c>
      <c r="G88" s="140">
        <f t="shared" si="4"/>
        <v>1880.2</v>
      </c>
      <c r="H88" s="140">
        <v>2075.1999999999998</v>
      </c>
      <c r="I88" s="140">
        <v>505.3</v>
      </c>
      <c r="J88" s="254">
        <f t="shared" si="5"/>
        <v>1569.8999999999999</v>
      </c>
      <c r="K88" s="253">
        <f>SUM(L88,'Table 1.3.1.1'!G88,'Table 1.3.1.1'!H88)</f>
        <v>581451.74399999995</v>
      </c>
      <c r="L88" s="258">
        <f>'Table 1.1.8'!D57</f>
        <v>296655.74400000001</v>
      </c>
      <c r="M88" s="255">
        <f>'Table 1.3.1.1'!F88</f>
        <v>284796</v>
      </c>
      <c r="N88" s="140">
        <f>C88+G88</f>
        <v>5601.5</v>
      </c>
      <c r="O88" s="140">
        <f>D88+J88</f>
        <v>3976.7</v>
      </c>
      <c r="P88" s="257">
        <f>E88+L88</f>
        <v>1258338</v>
      </c>
      <c r="Q88" s="93"/>
    </row>
    <row r="89" spans="1:17" ht="12.75" customHeight="1">
      <c r="A89" s="58">
        <v>2011</v>
      </c>
      <c r="B89" s="22">
        <v>15533.8</v>
      </c>
      <c r="C89" s="140">
        <v>3764.9</v>
      </c>
      <c r="D89" s="140">
        <v>2526.3000000000002</v>
      </c>
      <c r="E89" s="257">
        <f>'Table 1.1.8'!C58</f>
        <v>981367.00639999995</v>
      </c>
      <c r="F89" s="140">
        <v>2368.6</v>
      </c>
      <c r="G89" s="140">
        <f t="shared" si="4"/>
        <v>1896.1</v>
      </c>
      <c r="H89" s="140">
        <v>2103.8000000000002</v>
      </c>
      <c r="I89" s="140">
        <v>472.5</v>
      </c>
      <c r="J89" s="254">
        <f t="shared" si="5"/>
        <v>1631.3000000000002</v>
      </c>
      <c r="K89" s="253">
        <f>SUM(L89,'Table 1.3.1.1'!G89,'Table 1.3.1.1'!H89)</f>
        <v>597092.99359999993</v>
      </c>
      <c r="L89" s="258">
        <f>'Table 1.1.8'!D58</f>
        <v>331103.99359999999</v>
      </c>
      <c r="M89" s="255">
        <f>'Table 1.3.1.1'!F89</f>
        <v>265989</v>
      </c>
      <c r="N89" s="140">
        <f>C89+G89</f>
        <v>5661</v>
      </c>
      <c r="O89" s="140">
        <f>D89+J89</f>
        <v>4157.6000000000004</v>
      </c>
      <c r="P89" s="257">
        <f>E89+L89</f>
        <v>1312471</v>
      </c>
      <c r="Q89" s="93"/>
    </row>
    <row r="90" spans="1:17" ht="12.75" customHeight="1">
      <c r="A90" s="58">
        <v>2012</v>
      </c>
      <c r="B90" s="22">
        <v>16244.6</v>
      </c>
      <c r="C90" s="140">
        <v>3772.7</v>
      </c>
      <c r="D90" s="140">
        <v>2677.1</v>
      </c>
      <c r="E90" s="253">
        <f>'Table 1.1.8'!C59</f>
        <v>1026242.5571392355</v>
      </c>
      <c r="F90" s="140">
        <v>2405.9</v>
      </c>
      <c r="G90" s="140">
        <f t="shared" si="4"/>
        <v>1962.7</v>
      </c>
      <c r="H90" s="140">
        <v>2113.5</v>
      </c>
      <c r="I90" s="140">
        <v>443.2</v>
      </c>
      <c r="J90" s="254">
        <f t="shared" si="5"/>
        <v>1670.3</v>
      </c>
      <c r="K90" s="253">
        <f>SUM(L90,'Table 1.3.1.1'!G90,'Table 1.3.1.1'!H90)</f>
        <v>628722.85075632529</v>
      </c>
      <c r="L90" s="255">
        <f>'Table 1.1.8'!D59</f>
        <v>358808.85422724346</v>
      </c>
      <c r="M90" s="255">
        <f>'Table 1.3.1.1'!F90</f>
        <v>269913.99652908178</v>
      </c>
      <c r="N90" s="140">
        <f>C90+G90</f>
        <v>5735.4</v>
      </c>
      <c r="O90" s="140">
        <f>D90+J90</f>
        <v>4347.3999999999996</v>
      </c>
      <c r="P90" s="253">
        <f>E90+L90</f>
        <v>1385051.411366479</v>
      </c>
      <c r="Q90" s="93"/>
    </row>
    <row r="91" spans="1:17" ht="12.75" customHeight="1">
      <c r="A91" s="58">
        <v>2013</v>
      </c>
      <c r="B91" s="21">
        <f>B90*(1+F121)</f>
        <v>16717.693436145808</v>
      </c>
      <c r="C91" s="138">
        <f>C90*C140/C139</f>
        <v>3685.3635842874733</v>
      </c>
      <c r="D91" s="138">
        <f>D90*D140/D139</f>
        <v>3073.9844951450682</v>
      </c>
      <c r="E91" s="253">
        <f>'Table 1.1.8'!C60</f>
        <v>1059927.8113361553</v>
      </c>
      <c r="F91" s="138">
        <f>B91*I$261</f>
        <v>2540.785497916489</v>
      </c>
      <c r="G91" s="138">
        <f t="shared" si="4"/>
        <v>2037.4048502098194</v>
      </c>
      <c r="H91" s="138">
        <f>B91*J$261</f>
        <v>2258.4077000492921</v>
      </c>
      <c r="I91" s="138">
        <f>'Table 1.3.1.1'!B91</f>
        <v>503.38064770666949</v>
      </c>
      <c r="J91" s="259">
        <f t="shared" si="5"/>
        <v>1755.0270523426225</v>
      </c>
      <c r="K91" s="253">
        <f>SUM(L91,'Table 1.3.1.1'!G91,'Table 1.3.1.1'!H91)</f>
        <v>665367.81023315294</v>
      </c>
      <c r="L91" s="255">
        <f>'Table 1.1.8'!D60</f>
        <v>375395.27509601502</v>
      </c>
      <c r="M91" s="255">
        <f>'Table 1.3.1.1'!F91</f>
        <v>289972.53513713792</v>
      </c>
      <c r="N91" s="260">
        <f>C91+G91</f>
        <v>5722.7684344972931</v>
      </c>
      <c r="O91" s="260">
        <f>D91+J91</f>
        <v>4829.0115474876911</v>
      </c>
      <c r="P91" s="253">
        <f>E91+L91</f>
        <v>1435323.0864321704</v>
      </c>
      <c r="Q91" s="93"/>
    </row>
    <row r="92" spans="1:17" ht="12.75" customHeight="1">
      <c r="A92" s="58">
        <v>2014</v>
      </c>
      <c r="B92" s="21">
        <f>B91*(1+F122)</f>
        <v>17456.837229161356</v>
      </c>
      <c r="C92" s="138">
        <f>C91*C141/C140</f>
        <v>3841.8135530615659</v>
      </c>
      <c r="D92" s="138">
        <f>D91*D141/D140</f>
        <v>3323.5579951442114</v>
      </c>
      <c r="E92" s="253">
        <f>'Table 1.1.8'!C61</f>
        <v>1165127.1446071255</v>
      </c>
      <c r="F92" s="138">
        <f>B92*I$261</f>
        <v>2653.1219178503779</v>
      </c>
      <c r="G92" s="138">
        <f t="shared" si="4"/>
        <v>2127.4851686846359</v>
      </c>
      <c r="H92" s="138">
        <f>B92*J$261</f>
        <v>2358.2592758642154</v>
      </c>
      <c r="I92" s="138">
        <f>'Table 1.3.1.1'!B92</f>
        <v>525.636749165742</v>
      </c>
      <c r="J92" s="259">
        <f t="shared" si="5"/>
        <v>1832.6225266984734</v>
      </c>
      <c r="K92" s="253">
        <f>SUM(L92,'Table 1.3.1.1'!G92,'Table 1.3.1.1'!H92)</f>
        <v>755503.33418445801</v>
      </c>
      <c r="L92" s="255">
        <f>'Table 1.1.8'!D61</f>
        <v>406574.9071598032</v>
      </c>
      <c r="M92" s="255">
        <f>'Table 1.3.1.1'!F92</f>
        <v>348928.42702465481</v>
      </c>
      <c r="N92" s="260">
        <f>C92+G92</f>
        <v>5969.2987217462014</v>
      </c>
      <c r="O92" s="260">
        <f>D92+J92</f>
        <v>5156.1805218426853</v>
      </c>
      <c r="P92" s="253">
        <f>E92+L92</f>
        <v>1571702.0517669288</v>
      </c>
      <c r="Q92" s="93"/>
    </row>
    <row r="93" spans="1:17" ht="12.75" customHeight="1">
      <c r="A93" s="58">
        <v>2015</v>
      </c>
      <c r="B93" s="21">
        <f>B92*(1+F123)</f>
        <v>18543.813395360692</v>
      </c>
      <c r="C93" s="138">
        <f>C92*C142/C141</f>
        <v>4028.1549895437734</v>
      </c>
      <c r="D93" s="138">
        <f>D92*D142/D141</f>
        <v>3713.3296480424347</v>
      </c>
      <c r="E93" s="253">
        <f>'Table 1.1.8'!C62</f>
        <v>1236736.081596304</v>
      </c>
      <c r="F93" s="138">
        <f>B93*I$261</f>
        <v>2818.3225354002143</v>
      </c>
      <c r="G93" s="138">
        <f t="shared" si="4"/>
        <v>2259.9562252652481</v>
      </c>
      <c r="H93" s="138">
        <f>B93*J$261</f>
        <v>2505.0998285332198</v>
      </c>
      <c r="I93" s="138">
        <f>'Table 1.3.1.1'!B93</f>
        <v>558.36631013496617</v>
      </c>
      <c r="J93" s="259">
        <f t="shared" si="5"/>
        <v>1946.7335183982536</v>
      </c>
      <c r="K93" s="253">
        <f>SUM(L93,'Table 1.3.1.1'!G93,'Table 1.3.1.1'!H93)</f>
        <v>802357.75809582788</v>
      </c>
      <c r="L93" s="255">
        <f>'Table 1.1.8'!D62</f>
        <v>424132.58575983427</v>
      </c>
      <c r="M93" s="255">
        <f>'Table 1.3.1.1'!F93</f>
        <v>378225.17233599356</v>
      </c>
      <c r="N93" s="260">
        <f>C93+G93</f>
        <v>6288.1112148090215</v>
      </c>
      <c r="O93" s="260">
        <f>D93+J93</f>
        <v>5660.0631664406883</v>
      </c>
      <c r="P93" s="253">
        <f>E93+L93</f>
        <v>1660868.6673561381</v>
      </c>
      <c r="Q93" s="93"/>
    </row>
    <row r="94" spans="1:17" ht="12.75" customHeight="1">
      <c r="A94" s="58">
        <v>2016</v>
      </c>
      <c r="B94" s="21">
        <f>B93*(1+F124)</f>
        <v>19759.156270711192</v>
      </c>
      <c r="C94" s="138">
        <f>C93*C143/C142</f>
        <v>4306.8831931960594</v>
      </c>
      <c r="D94" s="138">
        <f>D93*D143/D142</f>
        <v>3940.2339922657284</v>
      </c>
      <c r="E94" s="253">
        <f>'Table 1.1.8'!C63</f>
        <v>1321123.5317076994</v>
      </c>
      <c r="F94" s="138">
        <f>B94*I$261</f>
        <v>3003.0325592130798</v>
      </c>
      <c r="G94" s="138">
        <f t="shared" si="4"/>
        <v>2408.071482813476</v>
      </c>
      <c r="H94" s="138">
        <f>B94*J$261</f>
        <v>2669.281551231707</v>
      </c>
      <c r="I94" s="138">
        <f>'Table 1.3.1.1'!B94</f>
        <v>594.96107639960371</v>
      </c>
      <c r="J94" s="259">
        <f t="shared" si="5"/>
        <v>2074.3204748321032</v>
      </c>
      <c r="K94" s="253">
        <f>SUM(L94,'Table 1.3.1.1'!G94,'Table 1.3.1.1'!H94)</f>
        <v>862523.1751848557</v>
      </c>
      <c r="L94" s="255">
        <f>'Table 1.1.8'!D63</f>
        <v>450773.14253033814</v>
      </c>
      <c r="M94" s="255">
        <f>'Table 1.3.1.1'!F94</f>
        <v>411750.03265451756</v>
      </c>
      <c r="N94" s="260">
        <f>C94+G94</f>
        <v>6714.9546760095354</v>
      </c>
      <c r="O94" s="260">
        <f>D94+J94</f>
        <v>6014.5544670978315</v>
      </c>
      <c r="P94" s="253">
        <f>E94+L94</f>
        <v>1771896.6742380376</v>
      </c>
      <c r="Q94" s="93"/>
    </row>
    <row r="95" spans="1:17" ht="12.75" customHeight="1">
      <c r="A95" s="58">
        <v>2017</v>
      </c>
      <c r="B95" s="21">
        <f>B94*(1+F125)</f>
        <v>20936.196176395617</v>
      </c>
      <c r="C95" s="138">
        <f>C94*C144/C143</f>
        <v>4544.7574133470471</v>
      </c>
      <c r="D95" s="138">
        <f>D94*D144/D143</f>
        <v>4128.7938981947527</v>
      </c>
      <c r="E95" s="253">
        <f>'Table 1.1.8'!C64</f>
        <v>1402001.7668285591</v>
      </c>
      <c r="F95" s="138">
        <f>B95*I$261</f>
        <v>3181.9212279313315</v>
      </c>
      <c r="G95" s="138">
        <f t="shared" si="4"/>
        <v>2551.5187126536248</v>
      </c>
      <c r="H95" s="138">
        <f>B95*J$261</f>
        <v>2828.2888925504294</v>
      </c>
      <c r="I95" s="138">
        <f>'Table 1.3.1.1'!B95</f>
        <v>630.40251527770658</v>
      </c>
      <c r="J95" s="259">
        <f t="shared" si="5"/>
        <v>2197.8863772727227</v>
      </c>
      <c r="K95" s="253">
        <f>SUM(L95,'Table 1.3.1.1'!G95,'Table 1.3.1.1'!H95)</f>
        <v>922373.11413200293</v>
      </c>
      <c r="L95" s="255">
        <f>'Table 1.1.8'!D64</f>
        <v>483974.44703471707</v>
      </c>
      <c r="M95" s="255">
        <f>'Table 1.3.1.1'!F95</f>
        <v>438398.66709728586</v>
      </c>
      <c r="N95" s="260">
        <f>C95+G95</f>
        <v>7096.2761260006719</v>
      </c>
      <c r="O95" s="260">
        <f>D95+J95</f>
        <v>6326.6802754674754</v>
      </c>
      <c r="P95" s="253">
        <f>E95+L95</f>
        <v>1885976.2138632762</v>
      </c>
      <c r="Q95" s="93"/>
    </row>
    <row r="96" spans="1:17" ht="12.75" customHeight="1">
      <c r="A96" s="58">
        <v>2018</v>
      </c>
      <c r="B96" s="21">
        <f>B95*(1+F126)</f>
        <v>21923.791664542441</v>
      </c>
      <c r="C96" s="138">
        <f>C95*C145/C144</f>
        <v>4783.7462305990139</v>
      </c>
      <c r="D96" s="138">
        <f>D95*D145/D144</f>
        <v>4308.746745414699</v>
      </c>
      <c r="E96" s="253">
        <f>'Table 1.1.8'!C65</f>
        <v>1496293.0992461941</v>
      </c>
      <c r="F96" s="138">
        <f>B96*I$261</f>
        <v>3332.0177890194686</v>
      </c>
      <c r="G96" s="138">
        <f t="shared" si="4"/>
        <v>2671.8781297754385</v>
      </c>
      <c r="H96" s="138">
        <f>B96*J$261</f>
        <v>2961.7040232611248</v>
      </c>
      <c r="I96" s="138">
        <f>'Table 1.3.1.1'!B96</f>
        <v>660.13965924403033</v>
      </c>
      <c r="J96" s="259">
        <f t="shared" si="5"/>
        <v>2301.5643640170947</v>
      </c>
      <c r="K96" s="253">
        <f>SUM(L96,'Table 1.3.1.1'!G96,'Table 1.3.1.1'!H96)</f>
        <v>988058.84844536032</v>
      </c>
      <c r="L96" s="255">
        <f>'Table 1.1.8'!D65</f>
        <v>520738.56176583306</v>
      </c>
      <c r="M96" s="255">
        <f>'Table 1.3.1.1'!F96</f>
        <v>467320.28667952726</v>
      </c>
      <c r="N96" s="260">
        <f>C96+G96</f>
        <v>7455.6243603744524</v>
      </c>
      <c r="O96" s="260">
        <f>D96+J96</f>
        <v>6610.3111094317937</v>
      </c>
      <c r="P96" s="253">
        <f>E96+L96</f>
        <v>2017031.6610120272</v>
      </c>
      <c r="Q96" s="93"/>
    </row>
    <row r="97" spans="1:17" ht="12.75" customHeight="1">
      <c r="A97" s="58">
        <v>2019</v>
      </c>
      <c r="B97" s="21">
        <f>B96*(1+F127)</f>
        <v>22908.281506500127</v>
      </c>
      <c r="C97" s="138">
        <f>C96*C146/C145</f>
        <v>5068.0378203553328</v>
      </c>
      <c r="D97" s="138">
        <f>D96*D146/D145</f>
        <v>4483.1417097316535</v>
      </c>
      <c r="E97" s="253">
        <f>'Table 1.1.8'!C66</f>
        <v>1599729.4566535195</v>
      </c>
      <c r="F97" s="138">
        <f>B97*I$261</f>
        <v>3481.6423483431777</v>
      </c>
      <c r="G97" s="138">
        <f t="shared" si="4"/>
        <v>2791.8590581641643</v>
      </c>
      <c r="H97" s="138">
        <f>B97*J$261</f>
        <v>3094.6996095356235</v>
      </c>
      <c r="I97" s="138">
        <f>'Table 1.3.1.1'!B97</f>
        <v>689.78329017901342</v>
      </c>
      <c r="J97" s="259">
        <f t="shared" si="5"/>
        <v>2404.9163193566101</v>
      </c>
      <c r="K97" s="253">
        <f>SUM(L97,'Table 1.3.1.1'!G97,'Table 1.3.1.1'!H97)</f>
        <v>1060666.8961706199</v>
      </c>
      <c r="L97" s="255">
        <f>'Table 1.1.8'!D66</f>
        <v>561552.12196088361</v>
      </c>
      <c r="M97" s="255">
        <f>'Table 1.3.1.1'!F97</f>
        <v>499114.77420973638</v>
      </c>
      <c r="N97" s="260">
        <f>C97+G97</f>
        <v>7859.8968785194975</v>
      </c>
      <c r="O97" s="260">
        <f>D97+J97</f>
        <v>6888.0580290882635</v>
      </c>
      <c r="P97" s="253">
        <f>E97+L97</f>
        <v>2161281.578614403</v>
      </c>
      <c r="Q97" s="93"/>
    </row>
    <row r="98" spans="1:17" ht="12.75" customHeight="1">
      <c r="A98" s="58">
        <v>2020</v>
      </c>
      <c r="B98" s="21">
        <f>B97*(1+F128)</f>
        <v>23912.440440989038</v>
      </c>
      <c r="C98" s="138">
        <f>C97*C97/C96</f>
        <v>5369.2244760516478</v>
      </c>
      <c r="D98" s="138">
        <f>D97*D97/D96</f>
        <v>4664.5952470806569</v>
      </c>
      <c r="E98" s="253">
        <f>'Table 1.1.8'!C67</f>
        <v>1712726.2866720362</v>
      </c>
      <c r="F98" s="138">
        <f>B98*I$261</f>
        <v>3634.2562521749319</v>
      </c>
      <c r="G98" s="138">
        <f t="shared" si="4"/>
        <v>2914.2370818624445</v>
      </c>
      <c r="H98" s="138">
        <f>B98*J$261</f>
        <v>3230.352310572704</v>
      </c>
      <c r="I98" s="138">
        <f>'Table 1.3.1.1'!B98</f>
        <v>720.01917031248729</v>
      </c>
      <c r="J98" s="259">
        <f t="shared" si="5"/>
        <v>2510.3331402602166</v>
      </c>
      <c r="K98" s="253">
        <f>SUM(L98,'Table 1.3.1.1'!G98,'Table 1.3.1.1'!H98)</f>
        <v>1143119.1186431309</v>
      </c>
      <c r="L98" s="255">
        <f>'Table 1.1.8'!D67</f>
        <v>611523.4752443399</v>
      </c>
      <c r="M98" s="255">
        <f>'Table 1.3.1.1'!F98</f>
        <v>531595.64339879097</v>
      </c>
      <c r="N98" s="260">
        <f>C98+G98</f>
        <v>8283.4615579140918</v>
      </c>
      <c r="O98" s="260">
        <f>D98+J98</f>
        <v>7174.9283873408731</v>
      </c>
      <c r="P98" s="253">
        <f>E98+L98</f>
        <v>2324249.7619163762</v>
      </c>
      <c r="Q98" s="93"/>
    </row>
    <row r="99" spans="1:17" ht="12.75" customHeight="1">
      <c r="A99" s="58">
        <v>2021</v>
      </c>
      <c r="B99" s="21">
        <f>B98*(1+F129)</f>
        <v>24941.444544991078</v>
      </c>
      <c r="C99" s="138">
        <f>C98*C98/C97</f>
        <v>5688.3102486813823</v>
      </c>
      <c r="D99" s="138">
        <f>D98*D98/D97</f>
        <v>4853.3930506492607</v>
      </c>
      <c r="E99" s="253">
        <f>'Table 1.1.8'!C68</f>
        <v>1836064.8368237161</v>
      </c>
      <c r="F99" s="138">
        <f>B99*I$261</f>
        <v>3790.6461701221106</v>
      </c>
      <c r="G99" s="138">
        <f>F99-I99</f>
        <v>3039.6430154254244</v>
      </c>
      <c r="H99" s="138">
        <f>B99*J$261</f>
        <v>3369.3613670993618</v>
      </c>
      <c r="I99" s="138">
        <f>'Table 1.3.1.1'!B99</f>
        <v>751.00315469668624</v>
      </c>
      <c r="J99" s="259">
        <f>H99-I99</f>
        <v>2618.3582124026757</v>
      </c>
      <c r="K99" s="261">
        <f>SUM(L99,'Table 1.3.1.1'!G99,'Table 1.3.1.1'!H99)</f>
        <v>1234291.4216898605</v>
      </c>
      <c r="L99" s="255">
        <f>'Table 1.1.8'!D68</f>
        <v>665221.84387413505</v>
      </c>
      <c r="M99" s="255">
        <f>'Table 1.3.1.1'!F99</f>
        <v>569069.57781572547</v>
      </c>
      <c r="N99" s="260">
        <f>C99+G99</f>
        <v>8727.9532641068072</v>
      </c>
      <c r="O99" s="260">
        <f>D99+J99</f>
        <v>7471.7512630519359</v>
      </c>
      <c r="P99" s="262">
        <f>E99+L99</f>
        <v>2501286.6806978509</v>
      </c>
      <c r="Q99" s="93"/>
    </row>
    <row r="100" spans="1:17" ht="18" customHeight="1">
      <c r="A100" s="123" t="s">
        <v>23</v>
      </c>
      <c r="B100" s="27" t="s">
        <v>24</v>
      </c>
      <c r="C100" s="27" t="s">
        <v>25</v>
      </c>
      <c r="D100" s="27" t="s">
        <v>26</v>
      </c>
      <c r="E100" s="27" t="s">
        <v>27</v>
      </c>
      <c r="F100" s="27" t="s">
        <v>28</v>
      </c>
      <c r="G100" s="27" t="s">
        <v>29</v>
      </c>
      <c r="H100" s="27" t="s">
        <v>30</v>
      </c>
      <c r="I100" s="27" t="s">
        <v>31</v>
      </c>
      <c r="J100" s="63" t="s">
        <v>32</v>
      </c>
      <c r="L100" s="63" t="s">
        <v>33</v>
      </c>
      <c r="M100" s="63" t="s">
        <v>34</v>
      </c>
      <c r="N100" s="28" t="s">
        <v>35</v>
      </c>
      <c r="O100" s="30"/>
      <c r="P100" s="30"/>
      <c r="Q100" s="93"/>
    </row>
    <row r="101" spans="1:17" s="93" customFormat="1" ht="18" customHeight="1">
      <c r="A101" s="31" t="s">
        <v>36</v>
      </c>
      <c r="B101" s="32">
        <v>41514</v>
      </c>
      <c r="C101" s="32"/>
      <c r="D101" s="32"/>
      <c r="E101" s="32"/>
      <c r="F101" s="32"/>
      <c r="G101" s="31"/>
      <c r="H101" s="31"/>
      <c r="I101" s="31"/>
      <c r="J101" s="31"/>
      <c r="K101" s="31"/>
      <c r="L101" s="31"/>
      <c r="M101" s="31"/>
      <c r="N101" s="31"/>
      <c r="O101" s="31"/>
      <c r="P101" s="31"/>
    </row>
    <row r="102" spans="1:17" ht="18" customHeight="1">
      <c r="A102" s="175" t="s">
        <v>37</v>
      </c>
      <c r="B102" s="114" t="s">
        <v>38</v>
      </c>
      <c r="C102" s="114"/>
      <c r="D102" s="114"/>
      <c r="E102" s="114"/>
      <c r="F102" s="114"/>
      <c r="G102" s="114"/>
      <c r="H102" s="114"/>
      <c r="I102" s="114"/>
      <c r="J102" s="114"/>
      <c r="K102" s="114"/>
      <c r="L102" s="114"/>
      <c r="M102" s="114"/>
      <c r="N102" s="114"/>
      <c r="O102" s="114"/>
      <c r="P102" s="114"/>
    </row>
    <row r="103" spans="1:17" s="38" customFormat="1" ht="18" customHeight="1">
      <c r="A103" s="35" t="s">
        <v>39</v>
      </c>
      <c r="B103" s="36"/>
      <c r="C103" s="36"/>
      <c r="D103" s="36"/>
      <c r="E103" s="36"/>
      <c r="F103" s="36"/>
      <c r="G103" s="36"/>
      <c r="H103" s="36"/>
      <c r="I103" s="36"/>
      <c r="J103" s="36"/>
      <c r="K103" s="36"/>
      <c r="L103" s="36"/>
      <c r="M103" s="36"/>
      <c r="N103" s="36"/>
      <c r="O103" s="36"/>
      <c r="P103" s="36"/>
    </row>
    <row r="104" spans="1:17" s="41" customFormat="1" ht="24.75" customHeight="1">
      <c r="A104" s="39" t="str">
        <f>B100</f>
        <v>[A]</v>
      </c>
      <c r="B104" s="40" t="s">
        <v>466</v>
      </c>
      <c r="C104" s="40"/>
      <c r="D104" s="40"/>
      <c r="E104" s="40"/>
      <c r="F104" s="40"/>
      <c r="G104" s="40"/>
      <c r="H104" s="40"/>
      <c r="I104" s="40"/>
      <c r="J104" s="40"/>
      <c r="K104" s="40"/>
      <c r="L104" s="40"/>
      <c r="M104" s="40"/>
      <c r="N104" s="40"/>
      <c r="O104" s="40"/>
      <c r="P104" s="40"/>
    </row>
    <row r="105" spans="1:17" ht="96" customHeight="1">
      <c r="A105" s="39" t="str">
        <f>C100</f>
        <v>[B]</v>
      </c>
      <c r="B105" s="40" t="s">
        <v>467</v>
      </c>
      <c r="C105" s="40"/>
      <c r="D105" s="40"/>
      <c r="E105" s="40"/>
      <c r="F105" s="40"/>
      <c r="G105" s="40"/>
      <c r="H105" s="40"/>
      <c r="I105" s="40"/>
      <c r="J105" s="40"/>
      <c r="K105" s="40"/>
      <c r="L105" s="40"/>
      <c r="M105" s="40"/>
      <c r="N105" s="40"/>
      <c r="O105" s="40"/>
      <c r="P105" s="40"/>
    </row>
    <row r="106" spans="1:17" s="41" customFormat="1" ht="48" customHeight="1">
      <c r="A106" s="39" t="str">
        <f>D100</f>
        <v>[C]</v>
      </c>
      <c r="B106" s="40" t="s">
        <v>468</v>
      </c>
      <c r="C106" s="40"/>
      <c r="D106" s="40"/>
      <c r="E106" s="40"/>
      <c r="F106" s="40"/>
      <c r="G106" s="40"/>
      <c r="H106" s="40"/>
      <c r="I106" s="40"/>
      <c r="J106" s="40"/>
      <c r="K106" s="40"/>
      <c r="L106" s="40"/>
      <c r="M106" s="40"/>
      <c r="N106" s="40"/>
      <c r="O106" s="40"/>
      <c r="P106" s="40"/>
    </row>
    <row r="107" spans="1:17" s="41" customFormat="1" ht="24.75" customHeight="1">
      <c r="A107" s="39" t="str">
        <f>E100</f>
        <v>[D]</v>
      </c>
      <c r="B107" s="40" t="s">
        <v>469</v>
      </c>
      <c r="C107" s="40"/>
      <c r="D107" s="40"/>
      <c r="E107" s="40"/>
      <c r="F107" s="40"/>
      <c r="G107" s="40"/>
      <c r="H107" s="40"/>
      <c r="I107" s="40"/>
      <c r="J107" s="40"/>
      <c r="K107" s="40"/>
      <c r="L107" s="40"/>
      <c r="M107" s="40"/>
      <c r="N107" s="40"/>
      <c r="O107" s="40"/>
      <c r="P107" s="40"/>
    </row>
    <row r="108" spans="1:17" s="41" customFormat="1" ht="36" customHeight="1">
      <c r="A108" s="39" t="str">
        <f>F100</f>
        <v>[E]</v>
      </c>
      <c r="B108" s="40" t="s">
        <v>470</v>
      </c>
      <c r="C108" s="40"/>
      <c r="D108" s="40"/>
      <c r="E108" s="40"/>
      <c r="F108" s="40"/>
      <c r="G108" s="40"/>
      <c r="H108" s="40"/>
      <c r="I108" s="40"/>
      <c r="J108" s="40"/>
      <c r="K108" s="40"/>
      <c r="L108" s="40"/>
      <c r="M108" s="40"/>
      <c r="N108" s="40"/>
      <c r="O108" s="40"/>
      <c r="P108" s="40"/>
    </row>
    <row r="109" spans="1:17" s="41" customFormat="1" ht="18" customHeight="1">
      <c r="A109" s="39" t="str">
        <f>G100</f>
        <v>[F]</v>
      </c>
      <c r="B109" s="40" t="s">
        <v>471</v>
      </c>
      <c r="C109" s="40"/>
      <c r="D109" s="40"/>
      <c r="E109" s="40"/>
      <c r="F109" s="40"/>
      <c r="G109" s="40"/>
      <c r="H109" s="40"/>
      <c r="I109" s="40"/>
      <c r="J109" s="40"/>
      <c r="K109" s="40"/>
      <c r="L109" s="40"/>
      <c r="M109" s="40"/>
      <c r="N109" s="40"/>
      <c r="O109" s="40"/>
      <c r="P109" s="40"/>
    </row>
    <row r="110" spans="1:17" s="41" customFormat="1" ht="36" customHeight="1">
      <c r="A110" s="39" t="str">
        <f>H100</f>
        <v>[G]</v>
      </c>
      <c r="B110" s="40" t="s">
        <v>472</v>
      </c>
      <c r="C110" s="40"/>
      <c r="D110" s="40"/>
      <c r="E110" s="40"/>
      <c r="F110" s="40"/>
      <c r="G110" s="40"/>
      <c r="H110" s="40"/>
      <c r="I110" s="40"/>
      <c r="J110" s="40"/>
      <c r="K110" s="40"/>
      <c r="L110" s="40"/>
      <c r="M110" s="40"/>
      <c r="N110" s="40"/>
      <c r="O110" s="40"/>
      <c r="P110" s="40"/>
    </row>
    <row r="111" spans="1:17" s="41" customFormat="1" ht="24.75" customHeight="1">
      <c r="A111" s="39" t="str">
        <f>I100</f>
        <v>[H]</v>
      </c>
      <c r="B111" s="40" t="s">
        <v>473</v>
      </c>
      <c r="C111" s="40"/>
      <c r="D111" s="40"/>
      <c r="E111" s="40"/>
      <c r="F111" s="40"/>
      <c r="G111" s="40"/>
      <c r="H111" s="40"/>
      <c r="I111" s="40"/>
      <c r="J111" s="40"/>
      <c r="K111" s="40"/>
      <c r="L111" s="40"/>
      <c r="M111" s="40"/>
      <c r="N111" s="40"/>
      <c r="O111" s="40"/>
      <c r="P111" s="40"/>
    </row>
    <row r="112" spans="1:17" s="41" customFormat="1" ht="18" customHeight="1">
      <c r="A112" s="39" t="str">
        <f>J100</f>
        <v>[I]</v>
      </c>
      <c r="B112" s="40" t="s">
        <v>474</v>
      </c>
      <c r="C112" s="40"/>
      <c r="D112" s="40"/>
      <c r="E112" s="40"/>
      <c r="F112" s="40"/>
      <c r="G112" s="40"/>
      <c r="H112" s="40"/>
      <c r="I112" s="40"/>
      <c r="J112" s="40"/>
      <c r="K112" s="40"/>
      <c r="L112" s="40"/>
      <c r="M112" s="40"/>
      <c r="N112" s="40"/>
      <c r="O112" s="40"/>
      <c r="P112" s="40"/>
    </row>
    <row r="113" spans="1:16" s="41" customFormat="1" ht="18" customHeight="1">
      <c r="A113" s="39" t="str">
        <f>L100</f>
        <v>[J]</v>
      </c>
      <c r="B113" s="40" t="s">
        <v>475</v>
      </c>
      <c r="C113" s="40"/>
      <c r="D113" s="40"/>
      <c r="E113" s="40"/>
      <c r="F113" s="40"/>
      <c r="G113" s="40"/>
      <c r="H113" s="40"/>
      <c r="I113" s="40"/>
      <c r="J113" s="40"/>
      <c r="K113" s="40"/>
      <c r="L113" s="40"/>
      <c r="M113" s="40"/>
      <c r="N113" s="40"/>
      <c r="O113" s="40"/>
      <c r="P113" s="40"/>
    </row>
    <row r="114" spans="1:16" s="41" customFormat="1" ht="18" customHeight="1">
      <c r="A114" s="39" t="str">
        <f>M100</f>
        <v>[K]</v>
      </c>
      <c r="B114" s="40" t="s">
        <v>476</v>
      </c>
      <c r="C114" s="40"/>
      <c r="D114" s="40"/>
      <c r="E114" s="40"/>
      <c r="F114" s="40"/>
      <c r="G114" s="40"/>
      <c r="H114" s="40"/>
      <c r="I114" s="40"/>
      <c r="J114" s="40"/>
      <c r="K114" s="40"/>
      <c r="L114" s="40"/>
      <c r="M114" s="40"/>
      <c r="N114" s="40"/>
      <c r="O114" s="40"/>
      <c r="P114" s="40"/>
    </row>
    <row r="115" spans="1:16" s="41" customFormat="1" ht="36" customHeight="1">
      <c r="A115" s="78" t="str">
        <f>N100</f>
        <v>[L]</v>
      </c>
      <c r="B115" s="40" t="s">
        <v>477</v>
      </c>
      <c r="C115" s="40"/>
      <c r="D115" s="40"/>
      <c r="E115" s="40"/>
      <c r="F115" s="40"/>
      <c r="G115" s="40"/>
      <c r="H115" s="40"/>
      <c r="I115" s="40"/>
      <c r="J115" s="40"/>
      <c r="K115" s="40"/>
      <c r="L115" s="40"/>
      <c r="M115" s="40"/>
      <c r="N115" s="40"/>
      <c r="O115" s="40"/>
      <c r="P115" s="40"/>
    </row>
    <row r="116" spans="1:16" s="38" customFormat="1" ht="18" customHeight="1">
      <c r="A116" s="43" t="s">
        <v>52</v>
      </c>
      <c r="B116" s="43"/>
      <c r="C116" s="43"/>
      <c r="D116" s="43"/>
      <c r="E116" s="43"/>
      <c r="F116" s="43"/>
      <c r="G116" s="43"/>
      <c r="H116" s="43"/>
      <c r="I116" s="148"/>
      <c r="J116" s="36"/>
      <c r="K116" s="36"/>
      <c r="L116" s="36"/>
      <c r="M116" s="36"/>
      <c r="N116" s="36"/>
      <c r="O116" s="36"/>
      <c r="P116" s="36"/>
    </row>
    <row r="117" spans="1:16" s="38" customFormat="1" ht="18" customHeight="1">
      <c r="A117" s="35" t="s">
        <v>53</v>
      </c>
      <c r="B117" s="43" t="s">
        <v>478</v>
      </c>
      <c r="C117" s="43"/>
      <c r="D117" s="43"/>
      <c r="E117" s="43"/>
      <c r="F117" s="43"/>
      <c r="G117" s="263"/>
      <c r="H117" s="263"/>
      <c r="I117" s="263"/>
      <c r="J117" s="264"/>
      <c r="K117" s="264"/>
      <c r="L117" s="264"/>
      <c r="M117" s="264"/>
      <c r="N117" s="264"/>
      <c r="O117" s="264"/>
      <c r="P117" s="264"/>
    </row>
    <row r="118" spans="1:16" s="49" customFormat="1" ht="24.75" customHeight="1">
      <c r="A118" s="12"/>
      <c r="B118" s="79" t="s">
        <v>94</v>
      </c>
      <c r="C118" s="28" t="s">
        <v>479</v>
      </c>
      <c r="D118" s="30"/>
      <c r="E118" s="14" t="s">
        <v>480</v>
      </c>
      <c r="F118" s="15" t="s">
        <v>481</v>
      </c>
      <c r="G118" s="137"/>
      <c r="H118" s="48"/>
    </row>
    <row r="119" spans="1:16" s="49" customFormat="1" ht="46.5" customHeight="1">
      <c r="A119" s="12"/>
      <c r="B119" s="50"/>
      <c r="C119" s="81" t="s">
        <v>482</v>
      </c>
      <c r="D119" s="81" t="s">
        <v>483</v>
      </c>
      <c r="E119" s="18"/>
      <c r="F119" s="9"/>
      <c r="G119" s="62"/>
    </row>
    <row r="120" spans="1:16" s="57" customFormat="1" ht="12.75" customHeight="1">
      <c r="A120" s="12"/>
      <c r="B120" s="58">
        <v>2012</v>
      </c>
      <c r="C120" s="23">
        <v>15692</v>
      </c>
      <c r="D120" s="23">
        <f>B90</f>
        <v>16244.6</v>
      </c>
      <c r="E120" s="85">
        <f>D120/C120</f>
        <v>1.0352153963803212</v>
      </c>
      <c r="F120" s="85"/>
      <c r="G120" s="243"/>
      <c r="K120" s="49"/>
      <c r="L120" s="49"/>
      <c r="M120" s="49"/>
    </row>
    <row r="121" spans="1:16" s="57" customFormat="1" ht="12.75" customHeight="1">
      <c r="A121" s="12"/>
      <c r="B121" s="58">
        <v>2013</v>
      </c>
      <c r="C121" s="23">
        <v>16149</v>
      </c>
      <c r="D121" s="60"/>
      <c r="F121" s="85">
        <f t="shared" ref="F121:F131" si="6">C121/C120-1</f>
        <v>2.9123120061177676E-2</v>
      </c>
      <c r="G121" s="243"/>
      <c r="K121" s="49"/>
      <c r="L121" s="49"/>
      <c r="M121" s="49"/>
    </row>
    <row r="122" spans="1:16" s="57" customFormat="1" ht="12.75" customHeight="1">
      <c r="A122" s="12"/>
      <c r="B122" s="58">
        <v>2014</v>
      </c>
      <c r="C122" s="23">
        <v>16863</v>
      </c>
      <c r="D122" s="60"/>
      <c r="F122" s="85">
        <f t="shared" si="6"/>
        <v>4.4213263979193673E-2</v>
      </c>
      <c r="G122" s="243"/>
      <c r="K122" s="49"/>
      <c r="L122" s="49"/>
      <c r="M122" s="49"/>
    </row>
    <row r="123" spans="1:16" s="57" customFormat="1" ht="12.75" customHeight="1">
      <c r="A123" s="12"/>
      <c r="B123" s="58">
        <v>2015</v>
      </c>
      <c r="C123" s="23">
        <v>17913</v>
      </c>
      <c r="D123" s="60"/>
      <c r="F123" s="85">
        <f t="shared" si="6"/>
        <v>6.2266500622665033E-2</v>
      </c>
      <c r="G123" s="243"/>
    </row>
    <row r="124" spans="1:16" s="57" customFormat="1" ht="12.75" customHeight="1">
      <c r="A124" s="12"/>
      <c r="B124" s="58">
        <v>2016</v>
      </c>
      <c r="C124" s="23">
        <v>19087</v>
      </c>
      <c r="D124" s="60"/>
      <c r="F124" s="85">
        <f t="shared" si="6"/>
        <v>6.5538994026684616E-2</v>
      </c>
      <c r="G124" s="243"/>
    </row>
    <row r="125" spans="1:16" s="57" customFormat="1" ht="12.75" customHeight="1">
      <c r="A125" s="12"/>
      <c r="B125" s="58">
        <v>2017</v>
      </c>
      <c r="C125" s="23">
        <v>20224</v>
      </c>
      <c r="D125" s="60"/>
      <c r="F125" s="85">
        <f t="shared" si="6"/>
        <v>5.9569340388746284E-2</v>
      </c>
      <c r="G125" s="243"/>
    </row>
    <row r="126" spans="1:16" s="57" customFormat="1" ht="12.75" customHeight="1">
      <c r="A126" s="12"/>
      <c r="B126" s="58">
        <v>2018</v>
      </c>
      <c r="C126" s="23">
        <v>21178</v>
      </c>
      <c r="D126" s="60"/>
      <c r="F126" s="85">
        <f t="shared" si="6"/>
        <v>4.7171677215189778E-2</v>
      </c>
      <c r="G126" s="243"/>
    </row>
    <row r="127" spans="1:16" s="57" customFormat="1" ht="12.75" customHeight="1">
      <c r="A127" s="12"/>
      <c r="B127" s="58">
        <v>2019</v>
      </c>
      <c r="C127" s="23">
        <v>22129</v>
      </c>
      <c r="D127" s="60"/>
      <c r="F127" s="85">
        <f t="shared" si="6"/>
        <v>4.4905090187930874E-2</v>
      </c>
      <c r="G127" s="243"/>
    </row>
    <row r="128" spans="1:16" s="57" customFormat="1" ht="12.75" customHeight="1">
      <c r="A128" s="12"/>
      <c r="B128" s="58">
        <v>2020</v>
      </c>
      <c r="C128" s="23">
        <v>23099</v>
      </c>
      <c r="D128" s="60"/>
      <c r="F128" s="85">
        <f t="shared" si="6"/>
        <v>4.3833883139771324E-2</v>
      </c>
      <c r="G128" s="243"/>
    </row>
    <row r="129" spans="1:16" s="57" customFormat="1" ht="12.75" customHeight="1">
      <c r="A129" s="62"/>
      <c r="B129" s="58">
        <v>2021</v>
      </c>
      <c r="C129" s="23">
        <v>24093</v>
      </c>
      <c r="D129" s="60"/>
      <c r="F129" s="85">
        <f t="shared" si="6"/>
        <v>4.303216589462755E-2</v>
      </c>
      <c r="G129" s="243"/>
    </row>
    <row r="130" spans="1:16" s="57" customFormat="1" ht="12.75" customHeight="1">
      <c r="A130" s="62"/>
      <c r="B130" s="58">
        <v>2022</v>
      </c>
      <c r="C130" s="23">
        <v>25117</v>
      </c>
      <c r="D130" s="60"/>
      <c r="F130" s="85">
        <f t="shared" si="6"/>
        <v>4.2501971526999638E-2</v>
      </c>
      <c r="G130" s="243"/>
    </row>
    <row r="131" spans="1:16" s="57" customFormat="1" ht="12.75" customHeight="1">
      <c r="A131" s="62"/>
      <c r="B131" s="58">
        <v>2023</v>
      </c>
      <c r="C131" s="23">
        <v>26180</v>
      </c>
      <c r="D131" s="265"/>
      <c r="F131" s="85">
        <f t="shared" si="6"/>
        <v>4.2321933351913144E-2</v>
      </c>
      <c r="G131" s="243"/>
    </row>
    <row r="132" spans="1:16" s="57" customFormat="1" ht="18" customHeight="1">
      <c r="B132" s="123" t="s">
        <v>23</v>
      </c>
      <c r="C132" s="63" t="s">
        <v>67</v>
      </c>
      <c r="D132" s="26" t="s">
        <v>68</v>
      </c>
      <c r="E132" s="28" t="s">
        <v>69</v>
      </c>
      <c r="F132" s="30"/>
      <c r="G132" s="243"/>
    </row>
    <row r="133" spans="1:16" s="57" customFormat="1" ht="24.75" customHeight="1">
      <c r="B133" s="266" t="str">
        <f>C132</f>
        <v>[P1a]</v>
      </c>
      <c r="C133" s="40" t="s">
        <v>484</v>
      </c>
      <c r="D133" s="40"/>
      <c r="E133" s="40"/>
      <c r="F133" s="40"/>
      <c r="G133" s="40"/>
      <c r="H133" s="40"/>
      <c r="I133" s="40"/>
      <c r="J133" s="40"/>
      <c r="K133" s="40"/>
      <c r="L133" s="40"/>
      <c r="M133" s="40"/>
      <c r="N133" s="40"/>
      <c r="O133" s="40"/>
      <c r="P133" s="40"/>
    </row>
    <row r="134" spans="1:16" s="57" customFormat="1" ht="18" customHeight="1">
      <c r="B134" s="266" t="str">
        <f>D132</f>
        <v>[P1b]</v>
      </c>
      <c r="C134" s="40" t="s">
        <v>485</v>
      </c>
      <c r="D134" s="40"/>
      <c r="E134" s="40"/>
      <c r="F134" s="40"/>
      <c r="G134" s="40"/>
      <c r="H134" s="40"/>
      <c r="I134" s="40"/>
      <c r="J134" s="40"/>
      <c r="K134" s="40"/>
      <c r="L134" s="40"/>
      <c r="M134" s="40"/>
      <c r="N134" s="40"/>
      <c r="O134" s="40"/>
      <c r="P134" s="40"/>
    </row>
    <row r="135" spans="1:16" s="57" customFormat="1" ht="18" customHeight="1">
      <c r="B135" s="266" t="str">
        <f>E132</f>
        <v>[P1c]</v>
      </c>
      <c r="C135" s="40" t="s">
        <v>486</v>
      </c>
      <c r="D135" s="40"/>
      <c r="E135" s="40"/>
      <c r="F135" s="40"/>
      <c r="G135" s="40"/>
      <c r="H135" s="40"/>
      <c r="I135" s="40"/>
      <c r="J135" s="40"/>
      <c r="K135" s="40"/>
      <c r="L135" s="40"/>
      <c r="M135" s="40"/>
      <c r="N135" s="40"/>
      <c r="O135" s="40"/>
      <c r="P135" s="40"/>
    </row>
    <row r="136" spans="1:16" s="38" customFormat="1" ht="18" customHeight="1">
      <c r="A136" s="35" t="s">
        <v>79</v>
      </c>
      <c r="B136" s="67" t="s">
        <v>487</v>
      </c>
      <c r="C136" s="67"/>
      <c r="D136" s="67"/>
      <c r="E136" s="67"/>
      <c r="F136" s="67"/>
      <c r="G136" s="67"/>
      <c r="H136" s="67"/>
      <c r="I136" s="67"/>
      <c r="J136" s="67"/>
      <c r="K136" s="267"/>
      <c r="L136" s="267"/>
      <c r="M136" s="267"/>
      <c r="N136" s="267"/>
      <c r="O136" s="267"/>
      <c r="P136" s="267"/>
    </row>
    <row r="137" spans="1:16" s="49" customFormat="1" ht="36" customHeight="1">
      <c r="A137" s="12"/>
      <c r="B137" s="79" t="s">
        <v>94</v>
      </c>
      <c r="C137" s="28" t="s">
        <v>488</v>
      </c>
      <c r="D137" s="29"/>
      <c r="E137" s="28" t="s">
        <v>481</v>
      </c>
      <c r="F137" s="30"/>
      <c r="G137" s="48"/>
      <c r="H137" s="48"/>
    </row>
    <row r="138" spans="1:16" s="49" customFormat="1" ht="24.75" customHeight="1">
      <c r="A138" s="12"/>
      <c r="B138" s="50"/>
      <c r="C138" s="81" t="s">
        <v>489</v>
      </c>
      <c r="D138" s="81" t="s">
        <v>437</v>
      </c>
      <c r="E138" s="81" t="s">
        <v>489</v>
      </c>
      <c r="F138" s="81" t="s">
        <v>490</v>
      </c>
    </row>
    <row r="139" spans="1:16" s="57" customFormat="1" ht="12.75" customHeight="1">
      <c r="A139" s="12"/>
      <c r="B139" s="58" t="s">
        <v>491</v>
      </c>
      <c r="C139" s="23">
        <v>3537.127</v>
      </c>
      <c r="D139" s="23">
        <v>2450.1639797159414</v>
      </c>
      <c r="E139" s="215" t="s">
        <v>66</v>
      </c>
      <c r="F139" s="215" t="s">
        <v>66</v>
      </c>
      <c r="G139" s="268"/>
      <c r="K139" s="49"/>
      <c r="L139" s="49"/>
      <c r="M139" s="49"/>
      <c r="N139" s="49"/>
      <c r="O139" s="49"/>
      <c r="P139" s="49"/>
    </row>
    <row r="140" spans="1:16" s="57" customFormat="1" ht="12.75" customHeight="1">
      <c r="A140" s="12"/>
      <c r="B140" s="58" t="s">
        <v>492</v>
      </c>
      <c r="C140" s="23">
        <v>3455.2439999999997</v>
      </c>
      <c r="D140" s="23">
        <v>2813.4048351610845</v>
      </c>
      <c r="E140" s="85">
        <f t="shared" ref="E140:F146" si="7">C140/C139-1</f>
        <v>-2.3149578740033983E-2</v>
      </c>
      <c r="F140" s="85">
        <f t="shared" si="7"/>
        <v>0.14825165109449334</v>
      </c>
      <c r="G140" s="268"/>
    </row>
    <row r="141" spans="1:16" s="57" customFormat="1" ht="12.75" customHeight="1">
      <c r="A141" s="12"/>
      <c r="B141" s="58" t="s">
        <v>493</v>
      </c>
      <c r="C141" s="23">
        <v>3601.9249999999997</v>
      </c>
      <c r="D141" s="23">
        <v>3041.8221524034502</v>
      </c>
      <c r="E141" s="85">
        <f t="shared" si="7"/>
        <v>4.2451705292014141E-2</v>
      </c>
      <c r="F141" s="85">
        <f t="shared" si="7"/>
        <v>8.1188926096832814E-2</v>
      </c>
      <c r="G141" s="268"/>
    </row>
    <row r="142" spans="1:16" s="57" customFormat="1" ht="12.75" customHeight="1">
      <c r="A142" s="12"/>
      <c r="B142" s="58" t="s">
        <v>494</v>
      </c>
      <c r="C142" s="23">
        <v>3776.6309999999999</v>
      </c>
      <c r="D142" s="23">
        <v>3398.5531165981279</v>
      </c>
      <c r="E142" s="85">
        <f t="shared" si="7"/>
        <v>4.850350854057206E-2</v>
      </c>
      <c r="F142" s="85">
        <f t="shared" si="7"/>
        <v>0.11727541793093055</v>
      </c>
      <c r="G142" s="268"/>
    </row>
    <row r="143" spans="1:16" s="57" customFormat="1" ht="12.75" customHeight="1">
      <c r="A143" s="12"/>
      <c r="B143" s="58" t="s">
        <v>495</v>
      </c>
      <c r="C143" s="23">
        <v>4037.9549999999999</v>
      </c>
      <c r="D143" s="23">
        <v>3606.2229276089161</v>
      </c>
      <c r="E143" s="85">
        <f t="shared" si="7"/>
        <v>6.9195004754237344E-2</v>
      </c>
      <c r="F143" s="85">
        <f t="shared" si="7"/>
        <v>6.1105359806369774E-2</v>
      </c>
      <c r="G143" s="268"/>
    </row>
    <row r="144" spans="1:16" s="57" customFormat="1" ht="12.75" customHeight="1">
      <c r="A144" s="12"/>
      <c r="B144" s="58" t="s">
        <v>496</v>
      </c>
      <c r="C144" s="23">
        <v>4260.9760000000006</v>
      </c>
      <c r="D144" s="23">
        <v>3778.7987333412088</v>
      </c>
      <c r="E144" s="85">
        <f t="shared" si="7"/>
        <v>5.5231175186449821E-2</v>
      </c>
      <c r="F144" s="85">
        <f t="shared" si="7"/>
        <v>4.7855002088492027E-2</v>
      </c>
      <c r="G144" s="268"/>
    </row>
    <row r="145" spans="1:16" s="57" customFormat="1" ht="12.75" customHeight="1">
      <c r="A145" s="12"/>
      <c r="B145" s="58" t="s">
        <v>497</v>
      </c>
      <c r="C145" s="23">
        <v>4485.0420000000004</v>
      </c>
      <c r="D145" s="23">
        <v>3943.4970951153823</v>
      </c>
      <c r="E145" s="85">
        <f t="shared" si="7"/>
        <v>5.258560480040253E-2</v>
      </c>
      <c r="F145" s="85">
        <f t="shared" si="7"/>
        <v>4.3584846242537889E-2</v>
      </c>
      <c r="G145" s="268"/>
    </row>
    <row r="146" spans="1:16" s="57" customFormat="1" ht="12.75" customHeight="1">
      <c r="A146" s="62"/>
      <c r="B146" s="58" t="s">
        <v>498</v>
      </c>
      <c r="C146" s="23">
        <v>4751.5820000000003</v>
      </c>
      <c r="D146" s="23">
        <v>4103.1087120939219</v>
      </c>
      <c r="E146" s="85">
        <f t="shared" si="7"/>
        <v>5.9428651950193645E-2</v>
      </c>
      <c r="F146" s="85">
        <f t="shared" si="7"/>
        <v>4.0474637898489263E-2</v>
      </c>
      <c r="G146" s="268"/>
    </row>
    <row r="147" spans="1:16" s="57" customFormat="1" ht="12.75" customHeight="1">
      <c r="A147" s="62"/>
      <c r="B147" s="58" t="s">
        <v>499</v>
      </c>
      <c r="C147" s="23">
        <v>5012.3550000000005</v>
      </c>
      <c r="D147" s="23">
        <v>4279.5642470728026</v>
      </c>
      <c r="E147" s="85">
        <f>C147/C146-1</f>
        <v>5.4881300585783777E-2</v>
      </c>
      <c r="F147" s="85">
        <f>D147/D146-1</f>
        <v>4.3005327755215816E-2</v>
      </c>
      <c r="G147" s="268"/>
    </row>
    <row r="148" spans="1:16" s="57" customFormat="1" ht="12.75" customHeight="1">
      <c r="A148" s="62"/>
      <c r="B148" s="58" t="s">
        <v>500</v>
      </c>
      <c r="C148" s="23">
        <v>5275.107</v>
      </c>
      <c r="D148" s="23">
        <v>4493.5971943620225</v>
      </c>
      <c r="E148" s="85">
        <f>C148/C147-1</f>
        <v>5.2420868035085277E-2</v>
      </c>
      <c r="F148" s="85">
        <f>D148/D147-1</f>
        <v>5.0012789838502103E-2</v>
      </c>
      <c r="G148" s="268"/>
    </row>
    <row r="149" spans="1:16" s="57" customFormat="1" ht="18" customHeight="1">
      <c r="B149" s="123" t="s">
        <v>23</v>
      </c>
      <c r="C149" s="28" t="s">
        <v>84</v>
      </c>
      <c r="D149" s="30"/>
      <c r="E149" s="28" t="s">
        <v>85</v>
      </c>
      <c r="F149" s="30"/>
    </row>
    <row r="150" spans="1:16" s="57" customFormat="1" ht="18" customHeight="1">
      <c r="B150" s="39" t="str">
        <f>C149</f>
        <v>[P2a]</v>
      </c>
      <c r="C150" s="88" t="s">
        <v>501</v>
      </c>
      <c r="D150" s="88"/>
      <c r="E150" s="88"/>
      <c r="F150" s="88"/>
      <c r="G150" s="88"/>
      <c r="H150" s="88"/>
      <c r="I150" s="88"/>
      <c r="J150" s="88"/>
      <c r="K150" s="88"/>
      <c r="L150" s="88"/>
      <c r="M150" s="88"/>
      <c r="N150" s="88"/>
      <c r="O150" s="88"/>
      <c r="P150" s="88"/>
    </row>
    <row r="151" spans="1:16" s="57" customFormat="1" ht="18" customHeight="1">
      <c r="A151" s="269"/>
      <c r="B151" s="78" t="str">
        <f>E149</f>
        <v>[P2b]</v>
      </c>
      <c r="C151" s="270" t="s">
        <v>502</v>
      </c>
      <c r="D151" s="270"/>
      <c r="E151" s="270"/>
      <c r="F151" s="270"/>
      <c r="G151" s="270"/>
      <c r="H151" s="270"/>
      <c r="I151" s="270"/>
      <c r="J151" s="270"/>
      <c r="K151" s="270"/>
      <c r="L151" s="270"/>
      <c r="M151" s="270"/>
      <c r="N151" s="270"/>
      <c r="O151" s="270"/>
      <c r="P151" s="270"/>
    </row>
    <row r="152" spans="1:16" s="38" customFormat="1" ht="18" customHeight="1">
      <c r="A152" s="35" t="s">
        <v>92</v>
      </c>
      <c r="B152" s="67" t="s">
        <v>503</v>
      </c>
      <c r="C152" s="67"/>
      <c r="D152" s="67"/>
      <c r="E152" s="67"/>
      <c r="F152" s="67"/>
      <c r="G152" s="67"/>
      <c r="H152" s="67"/>
      <c r="I152" s="67"/>
      <c r="J152" s="67"/>
      <c r="K152" s="67"/>
      <c r="L152" s="67"/>
      <c r="M152" s="67"/>
      <c r="N152" s="67"/>
      <c r="O152" s="67"/>
      <c r="P152" s="67"/>
    </row>
    <row r="153" spans="1:16" s="38" customFormat="1" ht="18" customHeight="1">
      <c r="A153" s="271"/>
      <c r="B153" s="79" t="s">
        <v>94</v>
      </c>
      <c r="C153" s="15" t="s">
        <v>504</v>
      </c>
      <c r="D153" s="79"/>
      <c r="E153" s="272" t="s">
        <v>505</v>
      </c>
      <c r="F153" s="273"/>
      <c r="G153" s="273"/>
      <c r="H153" s="273"/>
      <c r="I153" s="273"/>
      <c r="J153" s="274"/>
      <c r="K153" s="272" t="s">
        <v>506</v>
      </c>
      <c r="L153" s="273"/>
      <c r="M153" s="273"/>
      <c r="N153" s="275"/>
      <c r="O153" s="130"/>
      <c r="P153" s="130"/>
    </row>
    <row r="154" spans="1:16" s="49" customFormat="1" ht="24.75" customHeight="1">
      <c r="A154" s="12"/>
      <c r="B154" s="13"/>
      <c r="C154" s="9"/>
      <c r="D154" s="10"/>
      <c r="E154" s="30" t="s">
        <v>360</v>
      </c>
      <c r="F154" s="29"/>
      <c r="G154" s="28" t="s">
        <v>507</v>
      </c>
      <c r="H154" s="30"/>
      <c r="I154" s="28" t="s">
        <v>508</v>
      </c>
      <c r="J154" s="29"/>
      <c r="K154" s="28" t="s">
        <v>360</v>
      </c>
      <c r="L154" s="29"/>
      <c r="M154" s="28" t="s">
        <v>507</v>
      </c>
      <c r="N154" s="30"/>
      <c r="O154" s="48"/>
      <c r="P154" s="48"/>
    </row>
    <row r="155" spans="1:16" s="49" customFormat="1" ht="24.75" customHeight="1">
      <c r="A155" s="12"/>
      <c r="B155" s="10"/>
      <c r="C155" s="276" t="s">
        <v>360</v>
      </c>
      <c r="D155" s="81" t="s">
        <v>509</v>
      </c>
      <c r="E155" s="81" t="s">
        <v>300</v>
      </c>
      <c r="F155" s="81" t="s">
        <v>510</v>
      </c>
      <c r="G155" s="81" t="s">
        <v>300</v>
      </c>
      <c r="H155" s="81" t="s">
        <v>510</v>
      </c>
      <c r="I155" s="81" t="s">
        <v>360</v>
      </c>
      <c r="J155" s="81" t="s">
        <v>511</v>
      </c>
      <c r="K155" s="81" t="s">
        <v>300</v>
      </c>
      <c r="L155" s="156" t="s">
        <v>510</v>
      </c>
      <c r="M155" s="81" t="s">
        <v>300</v>
      </c>
      <c r="N155" s="81" t="s">
        <v>510</v>
      </c>
      <c r="O155" s="48"/>
      <c r="P155" s="48"/>
    </row>
    <row r="156" spans="1:16" s="57" customFormat="1" ht="12.75" customHeight="1">
      <c r="A156" s="12"/>
      <c r="B156" s="277">
        <v>1929</v>
      </c>
      <c r="C156" s="278" t="s">
        <v>65</v>
      </c>
      <c r="D156" s="278">
        <v>108</v>
      </c>
      <c r="E156" s="279" t="s">
        <v>65</v>
      </c>
      <c r="F156" s="279" t="s">
        <v>65</v>
      </c>
      <c r="G156" s="279" t="s">
        <v>65</v>
      </c>
      <c r="H156" s="279" t="s">
        <v>65</v>
      </c>
      <c r="I156" s="280" t="s">
        <v>66</v>
      </c>
      <c r="J156" s="281">
        <f>J162</f>
        <v>9.4301480061725229E-2</v>
      </c>
      <c r="K156" s="282">
        <v>0</v>
      </c>
      <c r="L156" s="282">
        <v>0</v>
      </c>
      <c r="M156" s="283">
        <f>D156*J156*C$195</f>
        <v>10.473780602202286</v>
      </c>
      <c r="N156" s="283">
        <f>D156*C$195-M156</f>
        <v>100.59319942129949</v>
      </c>
    </row>
    <row r="157" spans="1:16" s="57" customFormat="1" ht="12.75" customHeight="1">
      <c r="A157" s="12"/>
      <c r="B157" s="284">
        <v>1930</v>
      </c>
      <c r="C157" s="285" t="s">
        <v>65</v>
      </c>
      <c r="D157" s="285" t="s">
        <v>65</v>
      </c>
      <c r="E157" s="279" t="s">
        <v>65</v>
      </c>
      <c r="F157" s="279" t="s">
        <v>65</v>
      </c>
      <c r="G157" s="279" t="s">
        <v>65</v>
      </c>
      <c r="H157" s="279" t="s">
        <v>65</v>
      </c>
      <c r="I157" s="280" t="s">
        <v>66</v>
      </c>
      <c r="J157" s="281">
        <f>J158</f>
        <v>9.4301480061725229E-2</v>
      </c>
      <c r="K157" s="286">
        <v>0</v>
      </c>
      <c r="L157" s="286">
        <v>0</v>
      </c>
      <c r="M157" s="283">
        <f t="shared" ref="M157:M161" si="8">M156*(M$162/M$156)^(1/6)</f>
        <v>9.242608179589082</v>
      </c>
      <c r="N157" s="283">
        <f>N156*(N$162/N$156)^(1/6)</f>
        <v>88.768665594049622</v>
      </c>
    </row>
    <row r="158" spans="1:16" s="57" customFormat="1" ht="12.75" customHeight="1">
      <c r="A158" s="12"/>
      <c r="B158" s="284">
        <v>1931</v>
      </c>
      <c r="C158" s="285" t="s">
        <v>65</v>
      </c>
      <c r="D158" s="285" t="s">
        <v>65</v>
      </c>
      <c r="E158" s="279" t="s">
        <v>65</v>
      </c>
      <c r="F158" s="279" t="s">
        <v>65</v>
      </c>
      <c r="G158" s="279" t="s">
        <v>65</v>
      </c>
      <c r="H158" s="279" t="s">
        <v>65</v>
      </c>
      <c r="I158" s="280" t="s">
        <v>66</v>
      </c>
      <c r="J158" s="281">
        <f>J159</f>
        <v>9.4301480061725229E-2</v>
      </c>
      <c r="K158" s="286">
        <v>0</v>
      </c>
      <c r="L158" s="286">
        <v>0</v>
      </c>
      <c r="M158" s="283">
        <f t="shared" si="8"/>
        <v>8.1561576670266334</v>
      </c>
      <c r="N158" s="283">
        <f>N157*(N$162/N$156)^(1/6)</f>
        <v>78.334082588884556</v>
      </c>
    </row>
    <row r="159" spans="1:16" s="57" customFormat="1" ht="12.75" customHeight="1">
      <c r="A159" s="12"/>
      <c r="B159" s="284">
        <v>1932</v>
      </c>
      <c r="C159" s="285" t="s">
        <v>65</v>
      </c>
      <c r="D159" s="285" t="s">
        <v>65</v>
      </c>
      <c r="E159" s="279" t="s">
        <v>65</v>
      </c>
      <c r="F159" s="279" t="s">
        <v>65</v>
      </c>
      <c r="G159" s="279" t="s">
        <v>65</v>
      </c>
      <c r="H159" s="279" t="s">
        <v>65</v>
      </c>
      <c r="I159" s="280" t="s">
        <v>66</v>
      </c>
      <c r="J159" s="281">
        <f>J160</f>
        <v>9.4301480061725229E-2</v>
      </c>
      <c r="K159" s="286">
        <v>0</v>
      </c>
      <c r="L159" s="286">
        <v>0</v>
      </c>
      <c r="M159" s="283">
        <f t="shared" si="8"/>
        <v>7.1974172870708975</v>
      </c>
      <c r="N159" s="283">
        <f>N158*(N$162/N$156)^(1/6)</f>
        <v>69.126064405473201</v>
      </c>
    </row>
    <row r="160" spans="1:16" s="57" customFormat="1" ht="12.75" customHeight="1">
      <c r="A160" s="12"/>
      <c r="B160" s="284">
        <v>1933</v>
      </c>
      <c r="C160" s="285" t="s">
        <v>65</v>
      </c>
      <c r="D160" s="285" t="s">
        <v>65</v>
      </c>
      <c r="E160" s="279" t="s">
        <v>65</v>
      </c>
      <c r="F160" s="279" t="s">
        <v>65</v>
      </c>
      <c r="G160" s="279" t="s">
        <v>65</v>
      </c>
      <c r="H160" s="279" t="s">
        <v>65</v>
      </c>
      <c r="I160" s="280" t="s">
        <v>66</v>
      </c>
      <c r="J160" s="281">
        <f>J161</f>
        <v>9.4301480061725229E-2</v>
      </c>
      <c r="K160" s="286">
        <v>0</v>
      </c>
      <c r="L160" s="286">
        <v>0</v>
      </c>
      <c r="M160" s="283">
        <f t="shared" si="8"/>
        <v>6.3513749634405929</v>
      </c>
      <c r="N160" s="283">
        <f>N159*(N$162/N$156)^(1/6)</f>
        <v>61.000430748233157</v>
      </c>
    </row>
    <row r="161" spans="1:14" s="57" customFormat="1" ht="12.75" customHeight="1">
      <c r="A161" s="12"/>
      <c r="B161" s="284">
        <v>1934</v>
      </c>
      <c r="C161" s="285" t="s">
        <v>65</v>
      </c>
      <c r="D161" s="285" t="s">
        <v>65</v>
      </c>
      <c r="E161" s="279" t="s">
        <v>65</v>
      </c>
      <c r="F161" s="279" t="s">
        <v>65</v>
      </c>
      <c r="G161" s="279" t="s">
        <v>65</v>
      </c>
      <c r="H161" s="279" t="s">
        <v>65</v>
      </c>
      <c r="I161" s="280" t="s">
        <v>66</v>
      </c>
      <c r="J161" s="281">
        <f>J162</f>
        <v>9.4301480061725229E-2</v>
      </c>
      <c r="K161" s="286">
        <v>0</v>
      </c>
      <c r="L161" s="286">
        <v>0</v>
      </c>
      <c r="M161" s="283">
        <f t="shared" si="8"/>
        <v>5.6047832600570224</v>
      </c>
      <c r="N161" s="283">
        <f>N160*(N$162/N$156)^(1/6)</f>
        <v>53.829949433304741</v>
      </c>
    </row>
    <row r="162" spans="1:14" s="57" customFormat="1" ht="12.75" customHeight="1">
      <c r="A162" s="12"/>
      <c r="B162" s="96">
        <v>1935</v>
      </c>
      <c r="C162" s="279" t="s">
        <v>65</v>
      </c>
      <c r="D162" s="286">
        <v>51</v>
      </c>
      <c r="E162" s="279" t="s">
        <v>65</v>
      </c>
      <c r="F162" s="279" t="s">
        <v>65</v>
      </c>
      <c r="G162" s="279" t="s">
        <v>65</v>
      </c>
      <c r="H162" s="279" t="s">
        <v>65</v>
      </c>
      <c r="I162" s="280" t="s">
        <v>66</v>
      </c>
      <c r="J162" s="281">
        <f>J$167</f>
        <v>9.4301480061725229E-2</v>
      </c>
      <c r="K162" s="286">
        <v>0</v>
      </c>
      <c r="L162" s="286">
        <v>0</v>
      </c>
      <c r="M162" s="283">
        <f>D162*J162*C$195</f>
        <v>4.9459519510399685</v>
      </c>
      <c r="N162" s="283">
        <f>D162*C$195-M162</f>
        <v>47.502344171169206</v>
      </c>
    </row>
    <row r="163" spans="1:14" s="57" customFormat="1" ht="12.75" customHeight="1">
      <c r="A163" s="12"/>
      <c r="B163" s="284">
        <v>1936</v>
      </c>
      <c r="C163" s="279" t="s">
        <v>65</v>
      </c>
      <c r="D163" s="279" t="s">
        <v>65</v>
      </c>
      <c r="E163" s="279" t="s">
        <v>65</v>
      </c>
      <c r="F163" s="279" t="s">
        <v>65</v>
      </c>
      <c r="G163" s="279" t="s">
        <v>65</v>
      </c>
      <c r="H163" s="279" t="s">
        <v>65</v>
      </c>
      <c r="I163" s="280" t="s">
        <v>66</v>
      </c>
      <c r="J163" s="281">
        <f>J$167</f>
        <v>9.4301480061725229E-2</v>
      </c>
      <c r="K163" s="286">
        <v>0</v>
      </c>
      <c r="L163" s="286">
        <v>0</v>
      </c>
      <c r="M163" s="283">
        <f t="shared" ref="M163:M166" si="9">M162*(M$167/M$162)^(1/5)</f>
        <v>5.4519451287383669</v>
      </c>
      <c r="N163" s="283">
        <f>N162*(N$167/N$162)^(1/5)</f>
        <v>52.362048089287327</v>
      </c>
    </row>
    <row r="164" spans="1:14" s="57" customFormat="1" ht="12.75" customHeight="1">
      <c r="A164" s="12"/>
      <c r="B164" s="96">
        <v>1937</v>
      </c>
      <c r="C164" s="279" t="s">
        <v>65</v>
      </c>
      <c r="D164" s="279" t="s">
        <v>65</v>
      </c>
      <c r="E164" s="279" t="s">
        <v>65</v>
      </c>
      <c r="F164" s="279" t="s">
        <v>65</v>
      </c>
      <c r="G164" s="279" t="s">
        <v>65</v>
      </c>
      <c r="H164" s="279" t="s">
        <v>65</v>
      </c>
      <c r="I164" s="280" t="s">
        <v>66</v>
      </c>
      <c r="J164" s="281">
        <f>J$167</f>
        <v>9.4301480061725229E-2</v>
      </c>
      <c r="K164" s="286">
        <v>0</v>
      </c>
      <c r="L164" s="286">
        <v>0</v>
      </c>
      <c r="M164" s="283">
        <f t="shared" si="9"/>
        <v>6.0097036892006415</v>
      </c>
      <c r="N164" s="283">
        <f>N163*(N$167/N$162)^(1/5)</f>
        <v>57.718921622586386</v>
      </c>
    </row>
    <row r="165" spans="1:14" s="57" customFormat="1" ht="12.75" customHeight="1">
      <c r="A165" s="12"/>
      <c r="B165" s="284">
        <v>1938</v>
      </c>
      <c r="C165" s="279" t="s">
        <v>65</v>
      </c>
      <c r="D165" s="279" t="s">
        <v>65</v>
      </c>
      <c r="E165" s="279" t="s">
        <v>65</v>
      </c>
      <c r="F165" s="279" t="s">
        <v>65</v>
      </c>
      <c r="G165" s="279" t="s">
        <v>65</v>
      </c>
      <c r="H165" s="279" t="s">
        <v>65</v>
      </c>
      <c r="I165" s="280" t="s">
        <v>66</v>
      </c>
      <c r="J165" s="281">
        <f>J$167</f>
        <v>9.4301480061725229E-2</v>
      </c>
      <c r="K165" s="286">
        <v>0</v>
      </c>
      <c r="L165" s="286">
        <v>0</v>
      </c>
      <c r="M165" s="283">
        <f t="shared" si="9"/>
        <v>6.6245234644079254</v>
      </c>
      <c r="N165" s="283">
        <f>N164*(N$167/N$162)^(1/5)</f>
        <v>63.623827463613885</v>
      </c>
    </row>
    <row r="166" spans="1:14" s="57" customFormat="1" ht="12.75" customHeight="1">
      <c r="A166" s="12"/>
      <c r="B166" s="96">
        <v>1939</v>
      </c>
      <c r="C166" s="279" t="s">
        <v>65</v>
      </c>
      <c r="D166" s="279" t="s">
        <v>65</v>
      </c>
      <c r="E166" s="279" t="s">
        <v>65</v>
      </c>
      <c r="F166" s="279" t="s">
        <v>65</v>
      </c>
      <c r="G166" s="279" t="s">
        <v>65</v>
      </c>
      <c r="H166" s="279" t="s">
        <v>65</v>
      </c>
      <c r="I166" s="280" t="s">
        <v>66</v>
      </c>
      <c r="J166" s="281">
        <f>J$167</f>
        <v>9.4301480061725229E-2</v>
      </c>
      <c r="K166" s="286">
        <v>0</v>
      </c>
      <c r="L166" s="286">
        <v>0</v>
      </c>
      <c r="M166" s="283">
        <f t="shared" si="9"/>
        <v>7.3022420738231588</v>
      </c>
      <c r="N166" s="283">
        <f>N165*(N$167/N$162)^(1/5)</f>
        <v>70.132831787620603</v>
      </c>
    </row>
    <row r="167" spans="1:14" s="57" customFormat="1" ht="12.75" customHeight="1">
      <c r="A167" s="12"/>
      <c r="B167" s="96">
        <v>1940</v>
      </c>
      <c r="C167" s="286">
        <v>3</v>
      </c>
      <c r="D167" s="286">
        <v>83</v>
      </c>
      <c r="E167" s="279" t="s">
        <v>65</v>
      </c>
      <c r="F167" s="279" t="s">
        <v>65</v>
      </c>
      <c r="G167" s="279" t="s">
        <v>65</v>
      </c>
      <c r="H167" s="279" t="s">
        <v>65</v>
      </c>
      <c r="I167" s="287">
        <f>TREND(I175:I180,$B175:$B180,$B167)</f>
        <v>0.80990395104485025</v>
      </c>
      <c r="J167" s="281">
        <f>TREND(J175:J177,$B175:$B177,$B167)</f>
        <v>9.4301480061725229E-2</v>
      </c>
      <c r="K167" s="283">
        <f>C167*I167*$C$194</f>
        <v>2.4994519878276407</v>
      </c>
      <c r="L167" s="283">
        <f>C167*$C$194-K167</f>
        <v>0.58665715462452095</v>
      </c>
      <c r="M167" s="283">
        <f>D167*J167*C$195</f>
        <v>8.0492943516924989</v>
      </c>
      <c r="N167" s="283">
        <f>D167*C$195-M167</f>
        <v>77.307736592294972</v>
      </c>
    </row>
    <row r="168" spans="1:14" s="57" customFormat="1" ht="12.75" customHeight="1">
      <c r="A168" s="12"/>
      <c r="B168" s="96">
        <v>1941</v>
      </c>
      <c r="C168" s="279" t="s">
        <v>65</v>
      </c>
      <c r="D168" s="279" t="s">
        <v>65</v>
      </c>
      <c r="E168" s="279" t="s">
        <v>65</v>
      </c>
      <c r="F168" s="279" t="s">
        <v>65</v>
      </c>
      <c r="G168" s="279" t="s">
        <v>65</v>
      </c>
      <c r="H168" s="279" t="s">
        <v>65</v>
      </c>
      <c r="I168" s="287">
        <f t="shared" ref="I168:I186" si="10">TREND(I169:I174,$B169:$B174,$B168)</f>
        <v>0.814576079661256</v>
      </c>
      <c r="J168" s="281">
        <f t="shared" ref="J168:J185" si="11">TREND(J169:J171,$B169:$B171,$B168)</f>
        <v>0.10093290151998247</v>
      </c>
      <c r="K168" s="283">
        <f>K167*(K$175/K$167)^(1/8)</f>
        <v>3.6339128462874393</v>
      </c>
      <c r="L168" s="283">
        <f>L167*(L$175/L$167)^(1/8)</f>
        <v>0.82226871693894943</v>
      </c>
      <c r="M168" s="283">
        <f>M167*(M$175/M$167)^(1/8)</f>
        <v>9.6817006718275689</v>
      </c>
      <c r="N168" s="283">
        <f>N167*(N$175/N$167)^(1/8)</f>
        <v>87.185443921193098</v>
      </c>
    </row>
    <row r="169" spans="1:14" s="57" customFormat="1" ht="12.75" customHeight="1">
      <c r="A169" s="12"/>
      <c r="B169" s="96">
        <v>1942</v>
      </c>
      <c r="C169" s="279" t="s">
        <v>65</v>
      </c>
      <c r="D169" s="279" t="s">
        <v>65</v>
      </c>
      <c r="E169" s="279" t="s">
        <v>65</v>
      </c>
      <c r="F169" s="279" t="s">
        <v>65</v>
      </c>
      <c r="G169" s="279" t="s">
        <v>65</v>
      </c>
      <c r="H169" s="279" t="s">
        <v>65</v>
      </c>
      <c r="I169" s="287">
        <f t="shared" si="10"/>
        <v>0.81986833667256498</v>
      </c>
      <c r="J169" s="281">
        <f t="shared" si="11"/>
        <v>0.10771902553628721</v>
      </c>
      <c r="K169" s="283">
        <f t="shared" ref="K169:M174" si="12">K168*(K$175/K$167)^(1/8)</f>
        <v>5.283287152032905</v>
      </c>
      <c r="L169" s="283">
        <f t="shared" si="12"/>
        <v>1.1525059185363009</v>
      </c>
      <c r="M169" s="283">
        <f t="shared" si="12"/>
        <v>11.645160905211148</v>
      </c>
      <c r="N169" s="283">
        <f>N168*(N$175/N$167)^(1/8)</f>
        <v>98.325238414664767</v>
      </c>
    </row>
    <row r="170" spans="1:14" s="57" customFormat="1" ht="12.75" customHeight="1">
      <c r="A170" s="12"/>
      <c r="B170" s="96">
        <v>1943</v>
      </c>
      <c r="C170" s="279" t="s">
        <v>65</v>
      </c>
      <c r="D170" s="279" t="s">
        <v>65</v>
      </c>
      <c r="E170" s="279" t="s">
        <v>65</v>
      </c>
      <c r="F170" s="279" t="s">
        <v>65</v>
      </c>
      <c r="G170" s="279" t="s">
        <v>65</v>
      </c>
      <c r="H170" s="279" t="s">
        <v>65</v>
      </c>
      <c r="I170" s="287">
        <f t="shared" si="10"/>
        <v>0.82506541153817459</v>
      </c>
      <c r="J170" s="281">
        <f t="shared" si="11"/>
        <v>0.11451684936200479</v>
      </c>
      <c r="K170" s="283">
        <f t="shared" si="12"/>
        <v>7.6812857962053771</v>
      </c>
      <c r="L170" s="283">
        <f t="shared" si="12"/>
        <v>1.6153720370220797</v>
      </c>
      <c r="M170" s="283">
        <f t="shared" si="12"/>
        <v>14.006813173109563</v>
      </c>
      <c r="N170" s="283">
        <f>N169*(N$175/N$167)^(1/8)</f>
        <v>110.88837854676106</v>
      </c>
    </row>
    <row r="171" spans="1:14" s="57" customFormat="1" ht="12.75" customHeight="1">
      <c r="A171" s="12"/>
      <c r="B171" s="96">
        <v>1944</v>
      </c>
      <c r="C171" s="279" t="s">
        <v>65</v>
      </c>
      <c r="D171" s="279" t="s">
        <v>65</v>
      </c>
      <c r="E171" s="279" t="s">
        <v>65</v>
      </c>
      <c r="F171" s="279" t="s">
        <v>65</v>
      </c>
      <c r="G171" s="279" t="s">
        <v>65</v>
      </c>
      <c r="H171" s="279" t="s">
        <v>65</v>
      </c>
      <c r="I171" s="287">
        <f t="shared" si="10"/>
        <v>0.83023733191566507</v>
      </c>
      <c r="J171" s="281">
        <f t="shared" si="11"/>
        <v>0.12129712347360311</v>
      </c>
      <c r="K171" s="283">
        <f t="shared" si="12"/>
        <v>11.16769726594997</v>
      </c>
      <c r="L171" s="283">
        <f t="shared" si="12"/>
        <v>2.2641331172571095</v>
      </c>
      <c r="M171" s="283">
        <f t="shared" si="12"/>
        <v>16.847411286399765</v>
      </c>
      <c r="N171" s="283">
        <f>N170*(N$175/N$167)^(1/8)</f>
        <v>125.05672699081755</v>
      </c>
    </row>
    <row r="172" spans="1:14" s="57" customFormat="1" ht="12.75" customHeight="1">
      <c r="A172" s="12"/>
      <c r="B172" s="96">
        <v>1945</v>
      </c>
      <c r="C172" s="279" t="s">
        <v>65</v>
      </c>
      <c r="D172" s="279" t="s">
        <v>65</v>
      </c>
      <c r="E172" s="279" t="s">
        <v>65</v>
      </c>
      <c r="F172" s="279" t="s">
        <v>65</v>
      </c>
      <c r="G172" s="279" t="s">
        <v>65</v>
      </c>
      <c r="H172" s="279" t="s">
        <v>65</v>
      </c>
      <c r="I172" s="287">
        <f t="shared" si="10"/>
        <v>0.83548368794361494</v>
      </c>
      <c r="J172" s="281">
        <f t="shared" si="11"/>
        <v>0.12810372215638033</v>
      </c>
      <c r="K172" s="283">
        <f t="shared" si="12"/>
        <v>16.236534550702171</v>
      </c>
      <c r="L172" s="283">
        <f t="shared" si="12"/>
        <v>3.1734477601275497</v>
      </c>
      <c r="M172" s="283">
        <f t="shared" si="12"/>
        <v>20.264086023366136</v>
      </c>
      <c r="N172" s="283">
        <f>N171*(N$175/N$167)^(1/8)</f>
        <v>141.03538324406927</v>
      </c>
    </row>
    <row r="173" spans="1:14" s="57" customFormat="1" ht="12.75" customHeight="1">
      <c r="A173" s="12"/>
      <c r="B173" s="96">
        <v>1946</v>
      </c>
      <c r="C173" s="279" t="s">
        <v>65</v>
      </c>
      <c r="D173" s="279" t="s">
        <v>65</v>
      </c>
      <c r="E173" s="279" t="s">
        <v>65</v>
      </c>
      <c r="F173" s="279" t="s">
        <v>65</v>
      </c>
      <c r="G173" s="279" t="s">
        <v>65</v>
      </c>
      <c r="H173" s="279" t="s">
        <v>65</v>
      </c>
      <c r="I173" s="287">
        <f t="shared" si="10"/>
        <v>0.84079486426906413</v>
      </c>
      <c r="J173" s="281">
        <f t="shared" si="11"/>
        <v>0.13487083398239008</v>
      </c>
      <c r="K173" s="283">
        <f t="shared" si="12"/>
        <v>23.606035151036153</v>
      </c>
      <c r="L173" s="283">
        <f t="shared" si="12"/>
        <v>4.4479587394838447</v>
      </c>
      <c r="M173" s="283">
        <f t="shared" si="12"/>
        <v>24.373666397867925</v>
      </c>
      <c r="N173" s="283">
        <f>N172*(N$175/N$167)^(1/8)</f>
        <v>159.05565262604398</v>
      </c>
    </row>
    <row r="174" spans="1:14" s="57" customFormat="1" ht="12.75" customHeight="1">
      <c r="A174" s="12"/>
      <c r="B174" s="96">
        <v>1947</v>
      </c>
      <c r="C174" s="279" t="s">
        <v>65</v>
      </c>
      <c r="D174" s="279" t="s">
        <v>65</v>
      </c>
      <c r="E174" s="279" t="s">
        <v>65</v>
      </c>
      <c r="F174" s="279" t="s">
        <v>65</v>
      </c>
      <c r="G174" s="279" t="s">
        <v>65</v>
      </c>
      <c r="H174" s="279" t="s">
        <v>65</v>
      </c>
      <c r="I174" s="287">
        <f t="shared" si="10"/>
        <v>0.84606866792843505</v>
      </c>
      <c r="J174" s="281">
        <f t="shared" si="11"/>
        <v>0.14169717609355104</v>
      </c>
      <c r="K174" s="283">
        <f t="shared" si="12"/>
        <v>34.320432960114367</v>
      </c>
      <c r="L174" s="283">
        <f t="shared" si="12"/>
        <v>6.234335159610608</v>
      </c>
      <c r="M174" s="283">
        <f t="shared" si="12"/>
        <v>29.31667448458019</v>
      </c>
      <c r="N174" s="283">
        <f>N173*(N$175/N$167)^(1/8)</f>
        <v>179.37839462963714</v>
      </c>
    </row>
    <row r="175" spans="1:14" s="57" customFormat="1" ht="12.75" customHeight="1">
      <c r="A175" s="12"/>
      <c r="B175" s="96">
        <v>1948</v>
      </c>
      <c r="C175" s="286">
        <v>57</v>
      </c>
      <c r="D175" s="286">
        <v>231</v>
      </c>
      <c r="E175" s="279" t="s">
        <v>65</v>
      </c>
      <c r="F175" s="279" t="s">
        <v>65</v>
      </c>
      <c r="G175" s="279" t="s">
        <v>65</v>
      </c>
      <c r="H175" s="279" t="s">
        <v>65</v>
      </c>
      <c r="I175" s="287">
        <f t="shared" si="10"/>
        <v>0.8509765337779136</v>
      </c>
      <c r="J175" s="281">
        <f t="shared" si="11"/>
        <v>0.14843467277698608</v>
      </c>
      <c r="K175" s="283">
        <f t="shared" ref="K175:K186" si="13">C175*I175*$C$194</f>
        <v>49.897922757181128</v>
      </c>
      <c r="L175" s="283">
        <f t="shared" ref="L175:L186" si="14">C175*$C$194-K175</f>
        <v>8.738150949409949</v>
      </c>
      <c r="M175" s="283">
        <f t="shared" ref="M175:M186" si="15">D175*J175*C$195</f>
        <v>35.262130399471481</v>
      </c>
      <c r="N175" s="283">
        <f>D175*C$195-M175</f>
        <v>202.29779909524063</v>
      </c>
    </row>
    <row r="176" spans="1:14" s="57" customFormat="1" ht="12.75" customHeight="1">
      <c r="A176" s="12"/>
      <c r="B176" s="96">
        <v>1949</v>
      </c>
      <c r="C176" s="286">
        <v>69</v>
      </c>
      <c r="D176" s="286">
        <v>436</v>
      </c>
      <c r="E176" s="279" t="s">
        <v>65</v>
      </c>
      <c r="F176" s="279" t="s">
        <v>65</v>
      </c>
      <c r="G176" s="279" t="s">
        <v>65</v>
      </c>
      <c r="H176" s="279" t="s">
        <v>65</v>
      </c>
      <c r="I176" s="287">
        <f t="shared" si="10"/>
        <v>0.85641460382763945</v>
      </c>
      <c r="J176" s="281">
        <f t="shared" si="11"/>
        <v>0.15530543760200999</v>
      </c>
      <c r="K176" s="283">
        <f t="shared" si="13"/>
        <v>60.788745587846556</v>
      </c>
      <c r="L176" s="283">
        <f t="shared" si="14"/>
        <v>10.191764688553171</v>
      </c>
      <c r="M176" s="283">
        <f t="shared" si="15"/>
        <v>69.636086925537683</v>
      </c>
      <c r="N176" s="283">
        <f>D176*C$195-M176</f>
        <v>378.74542502119175</v>
      </c>
    </row>
    <row r="177" spans="1:14" s="57" customFormat="1" ht="12.75" customHeight="1">
      <c r="A177" s="12"/>
      <c r="B177" s="96">
        <v>1950</v>
      </c>
      <c r="C177" s="286">
        <v>79</v>
      </c>
      <c r="D177" s="286">
        <v>544</v>
      </c>
      <c r="E177" s="279" t="s">
        <v>65</v>
      </c>
      <c r="F177" s="279" t="s">
        <v>65</v>
      </c>
      <c r="G177" s="279" t="s">
        <v>65</v>
      </c>
      <c r="H177" s="279" t="s">
        <v>65</v>
      </c>
      <c r="I177" s="287">
        <f t="shared" si="10"/>
        <v>0.86185258968419554</v>
      </c>
      <c r="J177" s="281">
        <f t="shared" si="11"/>
        <v>0.16197630021465059</v>
      </c>
      <c r="K177" s="283">
        <f t="shared" si="13"/>
        <v>70.040640453722318</v>
      </c>
      <c r="L177" s="283">
        <f t="shared" si="14"/>
        <v>11.226900297517943</v>
      </c>
      <c r="M177" s="283">
        <f t="shared" si="15"/>
        <v>90.617396890003704</v>
      </c>
      <c r="N177" s="283">
        <f>D177*C$195-M177</f>
        <v>468.8310950802275</v>
      </c>
    </row>
    <row r="178" spans="1:14" s="57" customFormat="1" ht="12.75" customHeight="1">
      <c r="A178" s="12"/>
      <c r="B178" s="96">
        <v>1951</v>
      </c>
      <c r="C178" s="286">
        <v>94</v>
      </c>
      <c r="D178" s="286">
        <v>589</v>
      </c>
      <c r="E178" s="279" t="s">
        <v>65</v>
      </c>
      <c r="F178" s="279" t="s">
        <v>65</v>
      </c>
      <c r="G178" s="279" t="s">
        <v>65</v>
      </c>
      <c r="H178" s="279" t="s">
        <v>65</v>
      </c>
      <c r="I178" s="287">
        <f t="shared" si="10"/>
        <v>0.86695791172127912</v>
      </c>
      <c r="J178" s="281">
        <f t="shared" si="11"/>
        <v>0.16894701614586616</v>
      </c>
      <c r="K178" s="283">
        <f t="shared" si="13"/>
        <v>83.83317110784057</v>
      </c>
      <c r="L178" s="283">
        <f t="shared" si="14"/>
        <v>12.8649153556605</v>
      </c>
      <c r="M178" s="283">
        <f t="shared" si="15"/>
        <v>102.3356679337181</v>
      </c>
      <c r="N178" s="283">
        <f>D178*C$195-M178</f>
        <v>503.39073237963873</v>
      </c>
    </row>
    <row r="179" spans="1:14" s="57" customFormat="1" ht="12.75" customHeight="1">
      <c r="A179" s="12"/>
      <c r="B179" s="96">
        <v>1952</v>
      </c>
      <c r="C179" s="286">
        <v>105</v>
      </c>
      <c r="D179" s="286">
        <v>580</v>
      </c>
      <c r="E179" s="279" t="s">
        <v>65</v>
      </c>
      <c r="F179" s="279" t="s">
        <v>65</v>
      </c>
      <c r="G179" s="279" t="s">
        <v>65</v>
      </c>
      <c r="H179" s="279" t="s">
        <v>65</v>
      </c>
      <c r="I179" s="287">
        <f t="shared" si="10"/>
        <v>0.87183892664919505</v>
      </c>
      <c r="J179" s="281">
        <f t="shared" si="11"/>
        <v>0.17546795209921662</v>
      </c>
      <c r="K179" s="283">
        <f t="shared" si="13"/>
        <v>94.170652879721615</v>
      </c>
      <c r="L179" s="283">
        <f t="shared" si="14"/>
        <v>13.843167106104048</v>
      </c>
      <c r="M179" s="283">
        <f t="shared" si="15"/>
        <v>104.66151303453432</v>
      </c>
      <c r="N179" s="283">
        <f>D179*C$195-M179</f>
        <v>491.80930561019738</v>
      </c>
    </row>
    <row r="180" spans="1:14" s="57" customFormat="1" ht="12.75" customHeight="1">
      <c r="A180" s="12"/>
      <c r="B180" s="96">
        <v>1953</v>
      </c>
      <c r="C180" s="286">
        <v>113</v>
      </c>
      <c r="D180" s="286">
        <v>519</v>
      </c>
      <c r="E180" s="279" t="s">
        <v>65</v>
      </c>
      <c r="F180" s="279" t="s">
        <v>65</v>
      </c>
      <c r="G180" s="279" t="s">
        <v>65</v>
      </c>
      <c r="H180" s="279" t="s">
        <v>65</v>
      </c>
      <c r="I180" s="287">
        <f t="shared" si="10"/>
        <v>0.87686559256114904</v>
      </c>
      <c r="J180" s="281">
        <f t="shared" si="11"/>
        <v>0.18266355801936385</v>
      </c>
      <c r="K180" s="283">
        <f t="shared" si="13"/>
        <v>101.92987672507682</v>
      </c>
      <c r="L180" s="283">
        <f t="shared" si="14"/>
        <v>14.313567640621272</v>
      </c>
      <c r="M180" s="283">
        <f t="shared" si="15"/>
        <v>97.494581296489187</v>
      </c>
      <c r="N180" s="283">
        <f>D180*C$195-M180</f>
        <v>436.2439615942277</v>
      </c>
    </row>
    <row r="181" spans="1:14" s="57" customFormat="1" ht="12.75" customHeight="1">
      <c r="A181" s="12"/>
      <c r="B181" s="96">
        <v>1954</v>
      </c>
      <c r="C181" s="286">
        <v>129</v>
      </c>
      <c r="D181" s="286">
        <v>455</v>
      </c>
      <c r="E181" s="279" t="s">
        <v>65</v>
      </c>
      <c r="F181" s="279" t="s">
        <v>65</v>
      </c>
      <c r="G181" s="279" t="s">
        <v>65</v>
      </c>
      <c r="H181" s="279" t="s">
        <v>65</v>
      </c>
      <c r="I181" s="287">
        <f t="shared" si="10"/>
        <v>0.88368110956181312</v>
      </c>
      <c r="J181" s="281">
        <f t="shared" si="11"/>
        <v>0.18884715898931681</v>
      </c>
      <c r="K181" s="283">
        <f t="shared" si="13"/>
        <v>117.26686310293223</v>
      </c>
      <c r="L181" s="283">
        <f t="shared" si="14"/>
        <v>15.435830022510714</v>
      </c>
      <c r="M181" s="283">
        <f t="shared" si="15"/>
        <v>88.365565313958228</v>
      </c>
      <c r="N181" s="283">
        <f>D181*C$195-M181</f>
        <v>379.55550793320197</v>
      </c>
    </row>
    <row r="182" spans="1:14" s="57" customFormat="1" ht="12.75" customHeight="1">
      <c r="A182" s="12"/>
      <c r="B182" s="96">
        <v>1955</v>
      </c>
      <c r="C182" s="286">
        <v>150</v>
      </c>
      <c r="D182" s="286">
        <v>410</v>
      </c>
      <c r="E182" s="279" t="s">
        <v>65</v>
      </c>
      <c r="F182" s="279" t="s">
        <v>65</v>
      </c>
      <c r="G182" s="279" t="s">
        <v>65</v>
      </c>
      <c r="H182" s="279" t="s">
        <v>65</v>
      </c>
      <c r="I182" s="287">
        <f t="shared" si="10"/>
        <v>0.88757426030212372</v>
      </c>
      <c r="J182" s="281">
        <f t="shared" si="11"/>
        <v>0.19654876738456117</v>
      </c>
      <c r="K182" s="283">
        <f t="shared" si="13"/>
        <v>136.95755196617992</v>
      </c>
      <c r="L182" s="283">
        <f t="shared" si="14"/>
        <v>17.347905156428169</v>
      </c>
      <c r="M182" s="283">
        <f t="shared" si="15"/>
        <v>82.873444338013243</v>
      </c>
      <c r="N182" s="283">
        <f>D182*C$195-M182</f>
        <v>338.76972056602125</v>
      </c>
    </row>
    <row r="183" spans="1:14" s="57" customFormat="1" ht="12.75" customHeight="1">
      <c r="A183" s="12"/>
      <c r="B183" s="96">
        <v>1956</v>
      </c>
      <c r="C183" s="286">
        <v>200</v>
      </c>
      <c r="D183" s="286">
        <v>436</v>
      </c>
      <c r="E183" s="279" t="s">
        <v>65</v>
      </c>
      <c r="F183" s="279" t="s">
        <v>65</v>
      </c>
      <c r="G183" s="279" t="s">
        <v>65</v>
      </c>
      <c r="H183" s="279" t="s">
        <v>65</v>
      </c>
      <c r="I183" s="287">
        <f t="shared" si="10"/>
        <v>0.89213154353927848</v>
      </c>
      <c r="J183" s="281">
        <f t="shared" si="11"/>
        <v>0.20197336464186577</v>
      </c>
      <c r="K183" s="283">
        <f t="shared" si="13"/>
        <v>183.54768751910174</v>
      </c>
      <c r="L183" s="283">
        <f t="shared" si="14"/>
        <v>22.192921977709034</v>
      </c>
      <c r="M183" s="283">
        <f t="shared" si="15"/>
        <v>90.561122611087868</v>
      </c>
      <c r="N183" s="283">
        <f>D183*C$195-M183</f>
        <v>357.82038933564155</v>
      </c>
    </row>
    <row r="184" spans="1:14" s="57" customFormat="1" ht="12.75" customHeight="1">
      <c r="A184" s="12"/>
      <c r="B184" s="96">
        <v>1957</v>
      </c>
      <c r="C184" s="286">
        <v>266</v>
      </c>
      <c r="D184" s="286">
        <v>533</v>
      </c>
      <c r="E184" s="279" t="s">
        <v>65</v>
      </c>
      <c r="F184" s="279" t="s">
        <v>65</v>
      </c>
      <c r="G184" s="279" t="s">
        <v>65</v>
      </c>
      <c r="H184" s="279" t="s">
        <v>65</v>
      </c>
      <c r="I184" s="287">
        <f t="shared" si="10"/>
        <v>0.89802307001432347</v>
      </c>
      <c r="J184" s="281">
        <f t="shared" si="11"/>
        <v>0.21081347860607913</v>
      </c>
      <c r="K184" s="283">
        <f t="shared" si="13"/>
        <v>245.73055231003565</v>
      </c>
      <c r="L184" s="283">
        <f t="shared" si="14"/>
        <v>27.904458320722711</v>
      </c>
      <c r="M184" s="283">
        <f t="shared" si="15"/>
        <v>115.55448102106503</v>
      </c>
      <c r="N184" s="283">
        <f>D184*C$195-M184</f>
        <v>432.58163335417987</v>
      </c>
    </row>
    <row r="185" spans="1:14" s="57" customFormat="1" ht="12.75" customHeight="1">
      <c r="A185" s="12"/>
      <c r="B185" s="96">
        <v>1958</v>
      </c>
      <c r="C185" s="286">
        <v>330</v>
      </c>
      <c r="D185" s="286">
        <v>617</v>
      </c>
      <c r="E185" s="279" t="s">
        <v>65</v>
      </c>
      <c r="F185" s="279" t="s">
        <v>65</v>
      </c>
      <c r="G185" s="279" t="s">
        <v>65</v>
      </c>
      <c r="H185" s="279" t="s">
        <v>65</v>
      </c>
      <c r="I185" s="287">
        <f t="shared" si="10"/>
        <v>0.90464444750507766</v>
      </c>
      <c r="J185" s="281">
        <f t="shared" si="11"/>
        <v>0.21453031750992935</v>
      </c>
      <c r="K185" s="283">
        <f t="shared" si="13"/>
        <v>307.10146501254053</v>
      </c>
      <c r="L185" s="283">
        <f t="shared" si="14"/>
        <v>32.370540657197296</v>
      </c>
      <c r="M185" s="283">
        <f t="shared" si="15"/>
        <v>136.12410814726644</v>
      </c>
      <c r="N185" s="283">
        <f>D185*C$195-M185</f>
        <v>498.39743513514651</v>
      </c>
    </row>
    <row r="186" spans="1:14" s="57" customFormat="1" ht="12.75" customHeight="1">
      <c r="A186" s="12"/>
      <c r="B186" s="96">
        <v>1959</v>
      </c>
      <c r="C186" s="286">
        <v>420</v>
      </c>
      <c r="D186" s="286">
        <v>608</v>
      </c>
      <c r="E186" s="279" t="s">
        <v>65</v>
      </c>
      <c r="F186" s="279" t="s">
        <v>65</v>
      </c>
      <c r="G186" s="279" t="s">
        <v>65</v>
      </c>
      <c r="H186" s="279" t="s">
        <v>65</v>
      </c>
      <c r="I186" s="287">
        <f t="shared" si="10"/>
        <v>0.91082147569540606</v>
      </c>
      <c r="J186" s="281">
        <f>TREND(J187:J189,$B187:$B189,$B186)</f>
        <v>0.22593206900432161</v>
      </c>
      <c r="K186" s="283">
        <f t="shared" si="13"/>
        <v>393.5252276599507</v>
      </c>
      <c r="L186" s="283">
        <f t="shared" si="14"/>
        <v>38.530052283351949</v>
      </c>
      <c r="M186" s="283">
        <f t="shared" si="15"/>
        <v>141.26763238537981</v>
      </c>
      <c r="N186" s="283">
        <f>D186*C$195-M186</f>
        <v>483.99832922840801</v>
      </c>
    </row>
    <row r="187" spans="1:14" s="57" customFormat="1" ht="12.75" customHeight="1">
      <c r="A187" s="12"/>
      <c r="B187" s="96">
        <v>1960</v>
      </c>
      <c r="C187" s="286">
        <v>538</v>
      </c>
      <c r="D187" s="286">
        <v>512</v>
      </c>
      <c r="E187" s="286">
        <f>'Table 1.1.3'!AK7</f>
        <v>504</v>
      </c>
      <c r="F187" s="288">
        <f>'Table 1.1.3'!AL7</f>
        <v>51</v>
      </c>
      <c r="G187" s="289">
        <f>'Table 1.1.3'!AO7</f>
        <v>119</v>
      </c>
      <c r="H187" s="289">
        <f>'Table 1.1.3'!AP7</f>
        <v>408</v>
      </c>
      <c r="I187" s="102">
        <f t="shared" ref="I187:I192" si="16">E187/(E187+F187)</f>
        <v>0.90810810810810816</v>
      </c>
      <c r="J187" s="102">
        <f t="shared" ref="J187:J192" si="17">G187/(G187+H187)</f>
        <v>0.22580645161290322</v>
      </c>
      <c r="K187" s="286">
        <f t="shared" ref="K187:M192" si="18">E187</f>
        <v>504</v>
      </c>
      <c r="L187" s="286">
        <f t="shared" si="18"/>
        <v>51</v>
      </c>
      <c r="M187" s="286">
        <f t="shared" si="18"/>
        <v>119</v>
      </c>
      <c r="N187" s="290">
        <f>H187</f>
        <v>408</v>
      </c>
    </row>
    <row r="188" spans="1:14" s="57" customFormat="1" ht="12.75" customHeight="1">
      <c r="A188" s="12"/>
      <c r="B188" s="96">
        <v>1961</v>
      </c>
      <c r="C188" s="286">
        <v>712</v>
      </c>
      <c r="D188" s="286">
        <v>518</v>
      </c>
      <c r="E188" s="286">
        <f>'Table 1.1.3'!AK8</f>
        <v>680</v>
      </c>
      <c r="F188" s="288">
        <f>'Table 1.1.3'!AL8</f>
        <v>58</v>
      </c>
      <c r="G188" s="289">
        <f>'Table 1.1.3'!AO8</f>
        <v>121</v>
      </c>
      <c r="H188" s="289">
        <f>'Table 1.1.3'!AP8</f>
        <v>377</v>
      </c>
      <c r="I188" s="102">
        <f t="shared" si="16"/>
        <v>0.92140921409214094</v>
      </c>
      <c r="J188" s="102">
        <f t="shared" si="17"/>
        <v>0.2429718875502008</v>
      </c>
      <c r="K188" s="286">
        <f t="shared" si="18"/>
        <v>680</v>
      </c>
      <c r="L188" s="286">
        <f t="shared" si="18"/>
        <v>58</v>
      </c>
      <c r="M188" s="286">
        <f t="shared" si="18"/>
        <v>121</v>
      </c>
      <c r="N188" s="290">
        <f>H188</f>
        <v>377</v>
      </c>
    </row>
    <row r="189" spans="1:14" s="57" customFormat="1" ht="12.75" customHeight="1">
      <c r="A189" s="12"/>
      <c r="B189" s="96">
        <v>1962</v>
      </c>
      <c r="C189" s="286">
        <v>892</v>
      </c>
      <c r="D189" s="286">
        <v>541</v>
      </c>
      <c r="E189" s="286">
        <f>'Table 1.1.3'!AK9</f>
        <v>849</v>
      </c>
      <c r="F189" s="288">
        <f>'Table 1.1.3'!AL9</f>
        <v>66</v>
      </c>
      <c r="G189" s="289">
        <f>'Table 1.1.3'!AO9</f>
        <v>126</v>
      </c>
      <c r="H189" s="289">
        <f>'Table 1.1.3'!AP9</f>
        <v>412</v>
      </c>
      <c r="I189" s="102">
        <f t="shared" si="16"/>
        <v>0.9278688524590164</v>
      </c>
      <c r="J189" s="102">
        <f t="shared" si="17"/>
        <v>0.2342007434944238</v>
      </c>
      <c r="K189" s="286">
        <f t="shared" si="18"/>
        <v>849</v>
      </c>
      <c r="L189" s="286">
        <f t="shared" si="18"/>
        <v>66</v>
      </c>
      <c r="M189" s="286">
        <f t="shared" si="18"/>
        <v>126</v>
      </c>
      <c r="N189" s="290">
        <f>H189</f>
        <v>412</v>
      </c>
    </row>
    <row r="190" spans="1:14" s="57" customFormat="1" ht="12.75" customHeight="1">
      <c r="A190" s="12"/>
      <c r="B190" s="96">
        <v>1963</v>
      </c>
      <c r="C190" s="286">
        <v>1033</v>
      </c>
      <c r="D190" s="286">
        <v>545</v>
      </c>
      <c r="E190" s="286">
        <f>'Table 1.1.3'!AK10</f>
        <v>983</v>
      </c>
      <c r="F190" s="288">
        <f>'Table 1.1.3'!AL10</f>
        <v>74</v>
      </c>
      <c r="G190" s="289">
        <f>'Table 1.1.3'!AO10</f>
        <v>203</v>
      </c>
      <c r="H190" s="289">
        <f>'Table 1.1.3'!AP10</f>
        <v>418</v>
      </c>
      <c r="I190" s="102">
        <f t="shared" si="16"/>
        <v>0.92999053926206243</v>
      </c>
      <c r="J190" s="102">
        <f t="shared" si="17"/>
        <v>0.32689210950080516</v>
      </c>
      <c r="K190" s="286">
        <f t="shared" si="18"/>
        <v>983</v>
      </c>
      <c r="L190" s="286">
        <f t="shared" si="18"/>
        <v>74</v>
      </c>
      <c r="M190" s="286">
        <f t="shared" si="18"/>
        <v>203</v>
      </c>
      <c r="N190" s="290">
        <f>H190</f>
        <v>418</v>
      </c>
    </row>
    <row r="191" spans="1:14" s="57" customFormat="1" ht="12.75" customHeight="1">
      <c r="A191" s="12"/>
      <c r="B191" s="96">
        <v>1964</v>
      </c>
      <c r="C191" s="286">
        <v>1166</v>
      </c>
      <c r="D191" s="286">
        <v>564</v>
      </c>
      <c r="E191" s="286">
        <f>'Table 1.1.3'!AK11</f>
        <v>1112</v>
      </c>
      <c r="F191" s="288">
        <f>'Table 1.1.3'!AL11</f>
        <v>84</v>
      </c>
      <c r="G191" s="289">
        <f>'Table 1.1.3'!AO11</f>
        <v>229</v>
      </c>
      <c r="H191" s="289">
        <f>'Table 1.1.3'!AP11</f>
        <v>457</v>
      </c>
      <c r="I191" s="102">
        <f t="shared" si="16"/>
        <v>0.92976588628762546</v>
      </c>
      <c r="J191" s="102">
        <f t="shared" si="17"/>
        <v>0.33381924198250729</v>
      </c>
      <c r="K191" s="286">
        <f t="shared" si="18"/>
        <v>1112</v>
      </c>
      <c r="L191" s="286">
        <f t="shared" si="18"/>
        <v>84</v>
      </c>
      <c r="M191" s="286">
        <f t="shared" si="18"/>
        <v>229</v>
      </c>
      <c r="N191" s="290">
        <f>H191</f>
        <v>457</v>
      </c>
    </row>
    <row r="192" spans="1:14" s="57" customFormat="1" ht="12.75" customHeight="1">
      <c r="A192" s="12"/>
      <c r="B192" s="96">
        <v>1965</v>
      </c>
      <c r="C192" s="286">
        <v>1303</v>
      </c>
      <c r="D192" s="286">
        <v>703</v>
      </c>
      <c r="E192" s="286">
        <f>'Table 1.1.3'!AK12</f>
        <v>1251</v>
      </c>
      <c r="F192" s="288">
        <f>'Table 1.1.3'!AL12</f>
        <v>94</v>
      </c>
      <c r="G192" s="289">
        <f>'Table 1.1.3'!AO12</f>
        <v>210</v>
      </c>
      <c r="H192" s="289">
        <f>'Table 1.1.3'!AP12</f>
        <v>502</v>
      </c>
      <c r="I192" s="102">
        <f t="shared" si="16"/>
        <v>0.93011152416356879</v>
      </c>
      <c r="J192" s="102">
        <f t="shared" si="17"/>
        <v>0.2949438202247191</v>
      </c>
      <c r="K192" s="286">
        <f t="shared" si="18"/>
        <v>1251</v>
      </c>
      <c r="L192" s="286">
        <f t="shared" si="18"/>
        <v>94</v>
      </c>
      <c r="M192" s="286">
        <f t="shared" si="18"/>
        <v>210</v>
      </c>
      <c r="N192" s="290">
        <f>H192</f>
        <v>502</v>
      </c>
    </row>
    <row r="193" spans="1:16" s="57" customFormat="1" ht="18" customHeight="1">
      <c r="A193" s="12"/>
      <c r="B193" s="123" t="s">
        <v>23</v>
      </c>
      <c r="C193" s="28" t="s">
        <v>100</v>
      </c>
      <c r="D193" s="29"/>
      <c r="E193" s="28" t="s">
        <v>101</v>
      </c>
      <c r="F193" s="30"/>
      <c r="G193" s="30"/>
      <c r="H193" s="30"/>
      <c r="I193" s="28" t="s">
        <v>102</v>
      </c>
      <c r="J193" s="29"/>
      <c r="K193" s="28" t="s">
        <v>103</v>
      </c>
      <c r="L193" s="30"/>
      <c r="M193" s="28" t="s">
        <v>104</v>
      </c>
      <c r="N193" s="30"/>
    </row>
    <row r="194" spans="1:16" s="57" customFormat="1" ht="18" customHeight="1">
      <c r="A194" s="62"/>
      <c r="B194" s="39" t="s">
        <v>512</v>
      </c>
      <c r="C194" s="62">
        <f>SUM(E187:F192)/SUM(C187:C192)</f>
        <v>1.0287030474840539</v>
      </c>
      <c r="D194" s="291" t="s">
        <v>513</v>
      </c>
      <c r="E194" s="291"/>
      <c r="F194" s="291"/>
      <c r="G194" s="291"/>
      <c r="H194" s="291"/>
      <c r="I194" s="291"/>
      <c r="J194" s="291"/>
      <c r="K194" s="291"/>
      <c r="L194" s="291"/>
      <c r="M194" s="42"/>
      <c r="N194" s="42"/>
      <c r="O194" s="42"/>
      <c r="P194" s="42"/>
    </row>
    <row r="195" spans="1:16" s="57" customFormat="1" ht="18" customHeight="1">
      <c r="A195" s="62"/>
      <c r="B195" s="39" t="s">
        <v>514</v>
      </c>
      <c r="C195" s="62">
        <f>SUM(E188:F193)/SUM(C188:C193)</f>
        <v>1.028397963180572</v>
      </c>
      <c r="D195" s="42" t="s">
        <v>515</v>
      </c>
      <c r="E195" s="42"/>
      <c r="F195" s="42"/>
      <c r="G195" s="42"/>
      <c r="H195" s="42"/>
      <c r="I195" s="42"/>
      <c r="J195" s="42"/>
      <c r="K195" s="42"/>
      <c r="L195" s="42"/>
      <c r="M195" s="42"/>
      <c r="N195" s="42"/>
      <c r="O195" s="42"/>
      <c r="P195" s="42"/>
    </row>
    <row r="196" spans="1:16" s="57" customFormat="1" ht="18" customHeight="1">
      <c r="A196" s="62"/>
      <c r="B196" s="39" t="str">
        <f>C193</f>
        <v>[P3a]</v>
      </c>
      <c r="C196" s="40" t="s">
        <v>516</v>
      </c>
      <c r="D196" s="40"/>
      <c r="E196" s="40"/>
      <c r="F196" s="40"/>
      <c r="G196" s="40"/>
      <c r="H196" s="40"/>
      <c r="I196" s="40"/>
      <c r="J196" s="40"/>
      <c r="K196" s="40"/>
      <c r="L196" s="40"/>
      <c r="M196" s="40"/>
      <c r="N196" s="40"/>
      <c r="O196" s="40"/>
      <c r="P196" s="40"/>
    </row>
    <row r="197" spans="1:16" s="57" customFormat="1" ht="18" customHeight="1">
      <c r="A197" s="62"/>
      <c r="B197" s="39" t="str">
        <f>E193</f>
        <v>[P3b]</v>
      </c>
      <c r="C197" s="40" t="s">
        <v>517</v>
      </c>
      <c r="D197" s="40"/>
      <c r="E197" s="40"/>
      <c r="F197" s="40"/>
      <c r="G197" s="40"/>
      <c r="H197" s="40"/>
      <c r="I197" s="40"/>
      <c r="J197" s="40"/>
      <c r="K197" s="40"/>
      <c r="L197" s="40"/>
      <c r="M197" s="40"/>
      <c r="N197" s="40"/>
      <c r="O197" s="40"/>
      <c r="P197" s="40"/>
    </row>
    <row r="198" spans="1:16" s="57" customFormat="1" ht="18" customHeight="1">
      <c r="A198" s="62"/>
      <c r="B198" s="39" t="str">
        <f>I193</f>
        <v>[P3c]</v>
      </c>
      <c r="C198" s="40" t="s">
        <v>502</v>
      </c>
      <c r="D198" s="40"/>
      <c r="E198" s="40"/>
      <c r="F198" s="40"/>
      <c r="G198" s="40"/>
      <c r="H198" s="40"/>
      <c r="I198" s="40"/>
      <c r="J198" s="40"/>
      <c r="K198" s="40"/>
      <c r="L198" s="40"/>
      <c r="M198" s="40"/>
      <c r="N198" s="40"/>
      <c r="O198" s="40"/>
      <c r="P198" s="40"/>
    </row>
    <row r="199" spans="1:16" s="57" customFormat="1" ht="36" customHeight="1">
      <c r="A199" s="62"/>
      <c r="B199" s="39" t="str">
        <f>K193</f>
        <v>[P3d]</v>
      </c>
      <c r="C199" s="40" t="s">
        <v>518</v>
      </c>
      <c r="D199" s="40"/>
      <c r="E199" s="40"/>
      <c r="F199" s="40"/>
      <c r="G199" s="40"/>
      <c r="H199" s="40"/>
      <c r="I199" s="40"/>
      <c r="J199" s="40"/>
      <c r="K199" s="40"/>
      <c r="L199" s="40"/>
      <c r="M199" s="40"/>
      <c r="N199" s="40"/>
      <c r="O199" s="40"/>
      <c r="P199" s="40"/>
    </row>
    <row r="200" spans="1:16" s="57" customFormat="1" ht="36" customHeight="1">
      <c r="A200" s="62"/>
      <c r="B200" s="39" t="str">
        <f>M193</f>
        <v>[P3e]</v>
      </c>
      <c r="C200" s="40" t="s">
        <v>519</v>
      </c>
      <c r="D200" s="40"/>
      <c r="E200" s="40"/>
      <c r="F200" s="40"/>
      <c r="G200" s="40"/>
      <c r="H200" s="40"/>
      <c r="I200" s="40"/>
      <c r="J200" s="40"/>
      <c r="K200" s="40"/>
      <c r="L200" s="40"/>
      <c r="M200" s="40"/>
      <c r="N200" s="40"/>
      <c r="O200" s="40"/>
      <c r="P200" s="40"/>
    </row>
    <row r="201" spans="1:16" s="38" customFormat="1" ht="18" customHeight="1">
      <c r="A201" s="35" t="s">
        <v>202</v>
      </c>
      <c r="B201" s="43" t="s">
        <v>520</v>
      </c>
      <c r="C201" s="67"/>
      <c r="D201" s="67"/>
      <c r="E201" s="67"/>
      <c r="F201" s="43"/>
      <c r="G201" s="43"/>
      <c r="H201" s="43"/>
      <c r="I201" s="43"/>
      <c r="J201" s="43"/>
      <c r="K201" s="43"/>
      <c r="L201" s="67"/>
      <c r="M201" s="67"/>
      <c r="N201" s="67"/>
      <c r="O201" s="67"/>
      <c r="P201" s="45"/>
    </row>
    <row r="202" spans="1:16" s="49" customFormat="1" ht="24.75" customHeight="1">
      <c r="A202" s="12"/>
      <c r="B202" s="79" t="s">
        <v>94</v>
      </c>
      <c r="C202" s="28" t="s">
        <v>521</v>
      </c>
      <c r="D202" s="30"/>
      <c r="E202" s="30"/>
      <c r="F202" s="30"/>
      <c r="G202" s="28" t="s">
        <v>522</v>
      </c>
      <c r="H202" s="30"/>
      <c r="I202" s="30"/>
      <c r="J202" s="30"/>
    </row>
    <row r="203" spans="1:16" s="49" customFormat="1" ht="60" customHeight="1">
      <c r="A203" s="12"/>
      <c r="B203" s="50"/>
      <c r="C203" s="276" t="s">
        <v>523</v>
      </c>
      <c r="D203" s="81" t="s">
        <v>524</v>
      </c>
      <c r="E203" s="63" t="s">
        <v>525</v>
      </c>
      <c r="F203" s="81" t="s">
        <v>526</v>
      </c>
      <c r="G203" s="81" t="s">
        <v>527</v>
      </c>
      <c r="H203" s="63" t="s">
        <v>528</v>
      </c>
      <c r="I203" s="63" t="s">
        <v>529</v>
      </c>
      <c r="J203" s="81" t="s">
        <v>530</v>
      </c>
    </row>
    <row r="204" spans="1:16" s="57" customFormat="1" ht="12.75" customHeight="1">
      <c r="A204" s="12"/>
      <c r="B204" s="277">
        <v>1929</v>
      </c>
      <c r="C204" s="292">
        <v>84.8</v>
      </c>
      <c r="D204" s="20">
        <f t="shared" ref="D204:D233" si="19">C204*E204</f>
        <v>88.422788639931483</v>
      </c>
      <c r="E204" s="53">
        <f t="shared" ref="E204:E229" si="20">E$235</f>
        <v>1.0427215641501355</v>
      </c>
      <c r="F204" s="21">
        <f t="shared" ref="F204:F234" si="21">SUM(D204,K156,M156)</f>
        <v>98.896569242133765</v>
      </c>
      <c r="G204" s="22">
        <v>197.4</v>
      </c>
      <c r="H204" s="20">
        <f t="shared" ref="H204:H234" si="22">G204*I204</f>
        <v>237.15750212194092</v>
      </c>
      <c r="I204" s="53">
        <f t="shared" ref="I204:I234" si="23">I$235</f>
        <v>1.2014057858254352</v>
      </c>
      <c r="J204" s="293">
        <f>H204+L156+N156</f>
        <v>337.75070154324044</v>
      </c>
    </row>
    <row r="205" spans="1:16" s="57" customFormat="1" ht="12.75" customHeight="1">
      <c r="A205" s="12"/>
      <c r="B205" s="284">
        <v>1930</v>
      </c>
      <c r="C205" s="21">
        <f>C204*(C$210/C$204)^(1/6)</f>
        <v>85.437883279177839</v>
      </c>
      <c r="D205" s="20">
        <f t="shared" si="19"/>
        <v>89.087923290541028</v>
      </c>
      <c r="E205" s="53">
        <f t="shared" si="20"/>
        <v>1.0427215641501355</v>
      </c>
      <c r="F205" s="21">
        <f t="shared" si="21"/>
        <v>98.330531470130111</v>
      </c>
      <c r="G205" s="21">
        <f>G204*(G$210/G$204)^(1/6)</f>
        <v>210.80672874082794</v>
      </c>
      <c r="H205" s="20">
        <f t="shared" si="22"/>
        <v>253.26442360016375</v>
      </c>
      <c r="I205" s="53">
        <f t="shared" si="23"/>
        <v>1.2014057858254352</v>
      </c>
      <c r="J205" s="293">
        <f>H205+L157+N157</f>
        <v>342.0330891942134</v>
      </c>
    </row>
    <row r="206" spans="1:16" s="57" customFormat="1" ht="12.75" customHeight="1">
      <c r="A206" s="12"/>
      <c r="B206" s="284">
        <v>1931</v>
      </c>
      <c r="C206" s="21">
        <f>C205*(C$210/C$204)^(1/6)</f>
        <v>86.080564849368116</v>
      </c>
      <c r="D206" s="20">
        <f t="shared" si="19"/>
        <v>89.758061222660302</v>
      </c>
      <c r="E206" s="53">
        <f t="shared" si="20"/>
        <v>1.0427215641501355</v>
      </c>
      <c r="F206" s="21">
        <f t="shared" si="21"/>
        <v>97.914218889686936</v>
      </c>
      <c r="G206" s="21">
        <f>G205*(G$210/G$204)^(1/6)</f>
        <v>225.12399636478727</v>
      </c>
      <c r="H206" s="20">
        <f t="shared" si="22"/>
        <v>270.46527176079968</v>
      </c>
      <c r="I206" s="53">
        <f t="shared" si="23"/>
        <v>1.2014057858254352</v>
      </c>
      <c r="J206" s="293">
        <f>H206+L158+N158</f>
        <v>348.79935434968422</v>
      </c>
    </row>
    <row r="207" spans="1:16" s="57" customFormat="1" ht="12.75" customHeight="1">
      <c r="A207" s="12"/>
      <c r="B207" s="284">
        <v>1932</v>
      </c>
      <c r="C207" s="21">
        <f>C206*(C$210/C$204)^(1/6)</f>
        <v>86.728080804316178</v>
      </c>
      <c r="D207" s="20">
        <f t="shared" si="19"/>
        <v>90.433240072015906</v>
      </c>
      <c r="E207" s="53">
        <f t="shared" si="20"/>
        <v>1.0427215641501355</v>
      </c>
      <c r="F207" s="21">
        <f t="shared" si="21"/>
        <v>97.630657359086797</v>
      </c>
      <c r="G207" s="21">
        <f>G206*(G$210/G$204)^(1/6)</f>
        <v>240.41364353962942</v>
      </c>
      <c r="H207" s="20">
        <f t="shared" si="22"/>
        <v>288.83434233988453</v>
      </c>
      <c r="I207" s="53">
        <f t="shared" si="23"/>
        <v>1.2014057858254352</v>
      </c>
      <c r="J207" s="293">
        <f>H207+L159+N159</f>
        <v>357.96040674535772</v>
      </c>
    </row>
    <row r="208" spans="1:16" s="57" customFormat="1" ht="12.75" customHeight="1">
      <c r="A208" s="12"/>
      <c r="B208" s="284">
        <v>1933</v>
      </c>
      <c r="C208" s="21">
        <f>C207*(C$210/C$204)^(1/6)</f>
        <v>87.380467509272052</v>
      </c>
      <c r="D208" s="20">
        <f t="shared" si="19"/>
        <v>91.113497757438253</v>
      </c>
      <c r="E208" s="53">
        <f t="shared" si="20"/>
        <v>1.0427215641501355</v>
      </c>
      <c r="F208" s="21">
        <f t="shared" si="21"/>
        <v>97.464872720878844</v>
      </c>
      <c r="G208" s="21">
        <f>G207*(G$210/G$204)^(1/6)</f>
        <v>256.74171093846383</v>
      </c>
      <c r="H208" s="20">
        <f t="shared" si="22"/>
        <v>308.45097698419187</v>
      </c>
      <c r="I208" s="53">
        <f t="shared" si="23"/>
        <v>1.2014057858254352</v>
      </c>
      <c r="J208" s="293">
        <f>H208+L160+N160</f>
        <v>369.45140773242503</v>
      </c>
    </row>
    <row r="209" spans="1:10" s="57" customFormat="1" ht="12.75" customHeight="1">
      <c r="A209" s="12"/>
      <c r="B209" s="284">
        <v>1934</v>
      </c>
      <c r="C209" s="21">
        <f>C208*(C$210/C$204)^(1/6)</f>
        <v>88.037761603032749</v>
      </c>
      <c r="D209" s="20">
        <f t="shared" si="19"/>
        <v>91.798872482991044</v>
      </c>
      <c r="E209" s="53">
        <f t="shared" si="20"/>
        <v>1.0427215641501355</v>
      </c>
      <c r="F209" s="21">
        <f t="shared" si="21"/>
        <v>97.403655743048063</v>
      </c>
      <c r="G209" s="21">
        <f>G208*(G$210/G$204)^(1/6)</f>
        <v>274.17872448966972</v>
      </c>
      <c r="H209" s="20">
        <f t="shared" si="22"/>
        <v>329.39990595212714</v>
      </c>
      <c r="I209" s="53">
        <f t="shared" si="23"/>
        <v>1.2014057858254352</v>
      </c>
      <c r="J209" s="293">
        <f>H209+L161+N161</f>
        <v>383.2298553854319</v>
      </c>
    </row>
    <row r="210" spans="1:10" s="57" customFormat="1" ht="12.75" customHeight="1">
      <c r="A210" s="12"/>
      <c r="B210" s="96">
        <v>1935</v>
      </c>
      <c r="C210" s="292">
        <v>88.7</v>
      </c>
      <c r="D210" s="20">
        <f t="shared" si="19"/>
        <v>92.489402740117029</v>
      </c>
      <c r="E210" s="53">
        <f t="shared" si="20"/>
        <v>1.0427215641501355</v>
      </c>
      <c r="F210" s="21">
        <f t="shared" si="21"/>
        <v>97.435354691157002</v>
      </c>
      <c r="G210" s="22">
        <v>292.8</v>
      </c>
      <c r="H210" s="20">
        <f t="shared" si="22"/>
        <v>351.77161408968743</v>
      </c>
      <c r="I210" s="53">
        <f t="shared" si="23"/>
        <v>1.2014057858254352</v>
      </c>
      <c r="J210" s="293">
        <f>H210+L162+N162</f>
        <v>399.27395826085666</v>
      </c>
    </row>
    <row r="211" spans="1:10" s="57" customFormat="1" ht="12.75" customHeight="1">
      <c r="A211" s="12"/>
      <c r="B211" s="284">
        <v>1936</v>
      </c>
      <c r="C211" s="21">
        <f>C210*(C$215/C$210)^(1/5)</f>
        <v>96.228768025336848</v>
      </c>
      <c r="D211" s="20">
        <f t="shared" si="19"/>
        <v>100.33981151161979</v>
      </c>
      <c r="E211" s="53">
        <f t="shared" si="20"/>
        <v>1.0427215641501355</v>
      </c>
      <c r="F211" s="21">
        <f t="shared" si="21"/>
        <v>105.79175664035816</v>
      </c>
      <c r="G211" s="21">
        <f>G210*(G$215/G$210)^(1/5)</f>
        <v>309.9816940417457</v>
      </c>
      <c r="H211" s="20">
        <f t="shared" si="22"/>
        <v>372.41380072172313</v>
      </c>
      <c r="I211" s="53">
        <f t="shared" si="23"/>
        <v>1.2014057858254352</v>
      </c>
      <c r="J211" s="293">
        <f>H211+L163+N163</f>
        <v>424.77584881101046</v>
      </c>
    </row>
    <row r="212" spans="1:10" s="57" customFormat="1" ht="12.75" customHeight="1">
      <c r="A212" s="12"/>
      <c r="B212" s="96">
        <v>1937</v>
      </c>
      <c r="C212" s="21">
        <f>C211*(C$215/C$210)^(1/5)</f>
        <v>104.39657041346213</v>
      </c>
      <c r="D212" s="20">
        <f t="shared" si="19"/>
        <v>108.85655519343499</v>
      </c>
      <c r="E212" s="53">
        <f t="shared" si="20"/>
        <v>1.0427215641501355</v>
      </c>
      <c r="F212" s="21">
        <f t="shared" si="21"/>
        <v>114.86625888263563</v>
      </c>
      <c r="G212" s="21">
        <f>G211*(G$215/G$210)^(1/5)</f>
        <v>328.17162104163401</v>
      </c>
      <c r="H212" s="20">
        <f t="shared" si="22"/>
        <v>394.26728426313122</v>
      </c>
      <c r="I212" s="53">
        <f t="shared" si="23"/>
        <v>1.2014057858254352</v>
      </c>
      <c r="J212" s="293">
        <f>H212+L164+N164</f>
        <v>451.9862058857176</v>
      </c>
    </row>
    <row r="213" spans="1:10" s="57" customFormat="1" ht="12.75" customHeight="1">
      <c r="A213" s="12"/>
      <c r="B213" s="284">
        <v>1938</v>
      </c>
      <c r="C213" s="21">
        <f>C212*(C$215/C$210)^(1/5)</f>
        <v>113.25764776728062</v>
      </c>
      <c r="D213" s="20">
        <f t="shared" si="19"/>
        <v>118.09619163186395</v>
      </c>
      <c r="E213" s="53">
        <f t="shared" si="20"/>
        <v>1.0427215641501355</v>
      </c>
      <c r="F213" s="21">
        <f t="shared" si="21"/>
        <v>124.72071509627187</v>
      </c>
      <c r="G213" s="21">
        <f>G212*(G$215/G$210)^(1/5)</f>
        <v>347.428944764042</v>
      </c>
      <c r="H213" s="20">
        <f t="shared" si="22"/>
        <v>417.40314440274562</v>
      </c>
      <c r="I213" s="53">
        <f t="shared" si="23"/>
        <v>1.2014057858254352</v>
      </c>
      <c r="J213" s="293">
        <f>H213+L165+N165</f>
        <v>481.02697186635953</v>
      </c>
    </row>
    <row r="214" spans="1:10" s="57" customFormat="1" ht="12.75" customHeight="1">
      <c r="A214" s="12"/>
      <c r="B214" s="96">
        <v>1939</v>
      </c>
      <c r="C214" s="21">
        <f>C213*(C$215/C$210)^(1/5)</f>
        <v>122.87084457827459</v>
      </c>
      <c r="D214" s="20">
        <f t="shared" si="19"/>
        <v>128.12007924710667</v>
      </c>
      <c r="E214" s="53">
        <f t="shared" si="20"/>
        <v>1.0427215641501355</v>
      </c>
      <c r="F214" s="21">
        <f t="shared" si="21"/>
        <v>135.42232132092983</v>
      </c>
      <c r="G214" s="21">
        <f>G213*(G$215/G$210)^(1/5)</f>
        <v>367.81630074144067</v>
      </c>
      <c r="H214" s="20">
        <f t="shared" si="22"/>
        <v>441.89663183167517</v>
      </c>
      <c r="I214" s="53">
        <f t="shared" si="23"/>
        <v>1.2014057858254352</v>
      </c>
      <c r="J214" s="293">
        <f>H214+L166+N166</f>
        <v>512.02946361929571</v>
      </c>
    </row>
    <row r="215" spans="1:10" s="57" customFormat="1" ht="12.75" customHeight="1">
      <c r="A215" s="12"/>
      <c r="B215" s="96">
        <v>1940</v>
      </c>
      <c r="C215" s="292">
        <v>133.30000000000001</v>
      </c>
      <c r="D215" s="20">
        <f t="shared" si="19"/>
        <v>138.99478450121308</v>
      </c>
      <c r="E215" s="53">
        <f t="shared" si="20"/>
        <v>1.0427215641501355</v>
      </c>
      <c r="F215" s="21">
        <f t="shared" si="21"/>
        <v>149.54353084073321</v>
      </c>
      <c r="G215" s="22">
        <v>389.4</v>
      </c>
      <c r="H215" s="20">
        <f t="shared" si="22"/>
        <v>467.82741300042443</v>
      </c>
      <c r="I215" s="53">
        <f t="shared" si="23"/>
        <v>1.2014057858254352</v>
      </c>
      <c r="J215" s="293">
        <f>H215+L167+N167</f>
        <v>545.72180674734386</v>
      </c>
    </row>
    <row r="216" spans="1:10" s="57" customFormat="1" ht="12.75" customHeight="1">
      <c r="A216" s="12"/>
      <c r="B216" s="96">
        <v>1941</v>
      </c>
      <c r="C216" s="21">
        <f>C215*(C$225/C$215)^(1/10)</f>
        <v>162.710856259043</v>
      </c>
      <c r="D216" s="20">
        <f t="shared" si="19"/>
        <v>169.66211854263719</v>
      </c>
      <c r="E216" s="53">
        <f t="shared" si="20"/>
        <v>1.0427215641501355</v>
      </c>
      <c r="F216" s="21">
        <f t="shared" si="21"/>
        <v>182.9777320607522</v>
      </c>
      <c r="G216" s="21">
        <f>G215*(G$225/G$215)^(1/10)</f>
        <v>432.92984460032488</v>
      </c>
      <c r="H216" s="20">
        <f t="shared" si="22"/>
        <v>520.12442015933686</v>
      </c>
      <c r="I216" s="53">
        <f t="shared" si="23"/>
        <v>1.2014057858254352</v>
      </c>
      <c r="J216" s="293">
        <f>H216+L168+N168</f>
        <v>608.13213279746901</v>
      </c>
    </row>
    <row r="217" spans="1:10" s="57" customFormat="1" ht="12.75" customHeight="1">
      <c r="A217" s="12"/>
      <c r="B217" s="96">
        <v>1942</v>
      </c>
      <c r="C217" s="21">
        <f t="shared" ref="C217:C224" si="24">C216*(C$225/C$215)^(1/10)</f>
        <v>198.6108232899546</v>
      </c>
      <c r="D217" s="20">
        <f t="shared" si="19"/>
        <v>207.09578831804762</v>
      </c>
      <c r="E217" s="53">
        <f t="shared" si="20"/>
        <v>1.0427215641501355</v>
      </c>
      <c r="F217" s="21">
        <f t="shared" si="21"/>
        <v>224.02423637529168</v>
      </c>
      <c r="G217" s="21">
        <f t="shared" ref="G217:G224" si="25">G216*(G$225/G$215)^(1/10)</f>
        <v>481.32575846343468</v>
      </c>
      <c r="H217" s="20">
        <f t="shared" si="22"/>
        <v>578.26755108478642</v>
      </c>
      <c r="I217" s="53">
        <f t="shared" si="23"/>
        <v>1.2014057858254352</v>
      </c>
      <c r="J217" s="293">
        <f>H217+L169+N169</f>
        <v>677.74529541798756</v>
      </c>
    </row>
    <row r="218" spans="1:10" s="57" customFormat="1" ht="12.75" customHeight="1">
      <c r="A218" s="12"/>
      <c r="B218" s="96">
        <v>1943</v>
      </c>
      <c r="C218" s="21">
        <f t="shared" si="24"/>
        <v>242.43163630774185</v>
      </c>
      <c r="D218" s="20">
        <f t="shared" si="19"/>
        <v>252.78869501028538</v>
      </c>
      <c r="E218" s="53">
        <f t="shared" si="20"/>
        <v>1.0427215641501355</v>
      </c>
      <c r="F218" s="21">
        <f t="shared" si="21"/>
        <v>274.4767939796003</v>
      </c>
      <c r="G218" s="21">
        <f t="shared" si="25"/>
        <v>535.13170470906084</v>
      </c>
      <c r="H218" s="20">
        <f t="shared" si="22"/>
        <v>642.91032621609395</v>
      </c>
      <c r="I218" s="53">
        <f t="shared" si="23"/>
        <v>1.2014057858254352</v>
      </c>
      <c r="J218" s="293">
        <f>H218+L170+N170</f>
        <v>755.41407679987708</v>
      </c>
    </row>
    <row r="219" spans="1:10" s="57" customFormat="1" ht="12.75" customHeight="1">
      <c r="A219" s="12"/>
      <c r="B219" s="96">
        <v>1944</v>
      </c>
      <c r="C219" s="21">
        <f t="shared" si="24"/>
        <v>295.92092369027432</v>
      </c>
      <c r="D219" s="20">
        <f t="shared" si="19"/>
        <v>308.56312841507571</v>
      </c>
      <c r="E219" s="53">
        <f t="shared" si="20"/>
        <v>1.0427215641501355</v>
      </c>
      <c r="F219" s="21">
        <f t="shared" si="21"/>
        <v>336.57823696742548</v>
      </c>
      <c r="G219" s="21">
        <f t="shared" si="25"/>
        <v>594.95245444376133</v>
      </c>
      <c r="H219" s="20">
        <f t="shared" si="22"/>
        <v>714.77932105977857</v>
      </c>
      <c r="I219" s="53">
        <f t="shared" si="23"/>
        <v>1.2014057858254352</v>
      </c>
      <c r="J219" s="293">
        <f>H219+L171+N171</f>
        <v>842.10018116785318</v>
      </c>
    </row>
    <row r="220" spans="1:10" s="57" customFormat="1" ht="12.75" customHeight="1">
      <c r="A220" s="12"/>
      <c r="B220" s="96">
        <v>1945</v>
      </c>
      <c r="C220" s="21">
        <f t="shared" si="24"/>
        <v>361.21190456572731</v>
      </c>
      <c r="D220" s="20">
        <f t="shared" si="19"/>
        <v>376.64344211842467</v>
      </c>
      <c r="E220" s="53">
        <f t="shared" si="20"/>
        <v>1.0427215641501355</v>
      </c>
      <c r="F220" s="21">
        <f t="shared" si="21"/>
        <v>413.14406269249298</v>
      </c>
      <c r="G220" s="21">
        <f t="shared" si="25"/>
        <v>661.4603843012826</v>
      </c>
      <c r="H220" s="20">
        <f t="shared" si="22"/>
        <v>794.68233279387675</v>
      </c>
      <c r="I220" s="53">
        <f t="shared" si="23"/>
        <v>1.2014057858254352</v>
      </c>
      <c r="J220" s="293">
        <f>H220+L172+N172</f>
        <v>938.89116379807365</v>
      </c>
    </row>
    <row r="221" spans="1:10" s="57" customFormat="1" ht="12.75" customHeight="1">
      <c r="A221" s="12"/>
      <c r="B221" s="96">
        <v>1946</v>
      </c>
      <c r="C221" s="21">
        <f t="shared" si="24"/>
        <v>440.9084642374284</v>
      </c>
      <c r="D221" s="20">
        <f t="shared" si="19"/>
        <v>459.74476347668542</v>
      </c>
      <c r="E221" s="53">
        <f t="shared" si="20"/>
        <v>1.0427215641501355</v>
      </c>
      <c r="F221" s="21">
        <f t="shared" si="21"/>
        <v>507.7244650255895</v>
      </c>
      <c r="G221" s="21">
        <f t="shared" si="25"/>
        <v>735.40303385933601</v>
      </c>
      <c r="H221" s="20">
        <f t="shared" si="22"/>
        <v>883.5174597921847</v>
      </c>
      <c r="I221" s="53">
        <f t="shared" si="23"/>
        <v>1.2014057858254352</v>
      </c>
      <c r="J221" s="293">
        <f>H221+L173+N173</f>
        <v>1047.0210711577124</v>
      </c>
    </row>
    <row r="222" spans="1:10" s="57" customFormat="1" ht="12.75" customHeight="1">
      <c r="A222" s="12"/>
      <c r="B222" s="96">
        <v>1947</v>
      </c>
      <c r="C222" s="21">
        <f t="shared" si="24"/>
        <v>538.18900035957688</v>
      </c>
      <c r="D222" s="20">
        <f t="shared" si="19"/>
        <v>561.1812762633358</v>
      </c>
      <c r="E222" s="53">
        <f t="shared" si="20"/>
        <v>1.0427215641501355</v>
      </c>
      <c r="F222" s="21">
        <f t="shared" si="21"/>
        <v>624.8183837080303</v>
      </c>
      <c r="G222" s="21">
        <f t="shared" si="25"/>
        <v>817.61150787706674</v>
      </c>
      <c r="H222" s="20">
        <f t="shared" si="22"/>
        <v>982.28319612096641</v>
      </c>
      <c r="I222" s="53">
        <f t="shared" si="23"/>
        <v>1.2014057858254352</v>
      </c>
      <c r="J222" s="293">
        <f>H222+L174+N174</f>
        <v>1167.8959259102141</v>
      </c>
    </row>
    <row r="223" spans="1:10" s="57" customFormat="1" ht="12.75" customHeight="1">
      <c r="A223" s="12"/>
      <c r="B223" s="96">
        <v>1948</v>
      </c>
      <c r="C223" s="21">
        <f t="shared" si="24"/>
        <v>656.9331813781331</v>
      </c>
      <c r="D223" s="20">
        <f t="shared" si="19"/>
        <v>684.99839442873167</v>
      </c>
      <c r="E223" s="53">
        <f t="shared" si="20"/>
        <v>1.0427215641501355</v>
      </c>
      <c r="F223" s="21">
        <f t="shared" si="21"/>
        <v>770.15844758538435</v>
      </c>
      <c r="G223" s="21">
        <f t="shared" si="25"/>
        <v>909.00981779315828</v>
      </c>
      <c r="H223" s="20">
        <f t="shared" si="22"/>
        <v>1092.0896544688251</v>
      </c>
      <c r="I223" s="53">
        <f t="shared" si="23"/>
        <v>1.2014057858254352</v>
      </c>
      <c r="J223" s="293">
        <f>H223+L175+N175</f>
        <v>1303.1256045134758</v>
      </c>
    </row>
    <row r="224" spans="1:10" s="57" customFormat="1" ht="12.75" customHeight="1">
      <c r="A224" s="12"/>
      <c r="B224" s="96">
        <v>1949</v>
      </c>
      <c r="C224" s="21">
        <f t="shared" si="24"/>
        <v>801.87667252072936</v>
      </c>
      <c r="D224" s="20">
        <f t="shared" si="19"/>
        <v>836.13409822632093</v>
      </c>
      <c r="E224" s="53">
        <f t="shared" si="20"/>
        <v>1.0427215641501355</v>
      </c>
      <c r="F224" s="21">
        <f t="shared" si="21"/>
        <v>966.55893073970515</v>
      </c>
      <c r="G224" s="21">
        <f t="shared" si="25"/>
        <v>1010.6252674816684</v>
      </c>
      <c r="H224" s="20">
        <f t="shared" si="22"/>
        <v>1214.1710436538544</v>
      </c>
      <c r="I224" s="53">
        <f t="shared" si="23"/>
        <v>1.2014057858254352</v>
      </c>
      <c r="J224" s="293">
        <f>H224+L176+N176</f>
        <v>1603.1082333635993</v>
      </c>
    </row>
    <row r="225" spans="1:16" s="57" customFormat="1" ht="12.75" customHeight="1">
      <c r="A225" s="12"/>
      <c r="B225" s="96">
        <v>1950</v>
      </c>
      <c r="C225" s="292">
        <v>978.8</v>
      </c>
      <c r="D225" s="20">
        <f t="shared" si="19"/>
        <v>1020.6158669901525</v>
      </c>
      <c r="E225" s="53">
        <f t="shared" si="20"/>
        <v>1.0427215641501355</v>
      </c>
      <c r="F225" s="21">
        <f t="shared" si="21"/>
        <v>1181.2739043338786</v>
      </c>
      <c r="G225" s="22">
        <v>1123.5999999999999</v>
      </c>
      <c r="H225" s="20">
        <f t="shared" si="22"/>
        <v>1349.8995409534589</v>
      </c>
      <c r="I225" s="53">
        <f t="shared" si="23"/>
        <v>1.2014057858254352</v>
      </c>
      <c r="J225" s="293">
        <f>H225+L177+N177</f>
        <v>1829.9575363312042</v>
      </c>
    </row>
    <row r="226" spans="1:16" s="57" customFormat="1" ht="12.75" customHeight="1">
      <c r="A226" s="12"/>
      <c r="B226" s="96">
        <v>1951</v>
      </c>
      <c r="C226" s="21">
        <f>C225*(C$230/C$225)^(1/5)</f>
        <v>1077.5709240470374</v>
      </c>
      <c r="D226" s="20">
        <f t="shared" si="19"/>
        <v>1123.6064394050336</v>
      </c>
      <c r="E226" s="53">
        <f t="shared" si="20"/>
        <v>1.0427215641501355</v>
      </c>
      <c r="F226" s="21">
        <f t="shared" si="21"/>
        <v>1309.7752784465922</v>
      </c>
      <c r="G226" s="21">
        <f>G225*(G$230/G$225)^(1/5)</f>
        <v>1246.2418392320812</v>
      </c>
      <c r="H226" s="20">
        <f t="shared" si="22"/>
        <v>1497.2421561911542</v>
      </c>
      <c r="I226" s="53">
        <f t="shared" si="23"/>
        <v>1.2014057858254352</v>
      </c>
      <c r="J226" s="293">
        <f>H226+L178+N178</f>
        <v>2013.4978039264533</v>
      </c>
    </row>
    <row r="227" spans="1:16" s="57" customFormat="1" ht="12.75" customHeight="1">
      <c r="A227" s="12"/>
      <c r="B227" s="96">
        <v>1952</v>
      </c>
      <c r="C227" s="21">
        <f>C226*(C$230/C$225)^(1/5)</f>
        <v>1186.3088438410155</v>
      </c>
      <c r="D227" s="20">
        <f t="shared" si="19"/>
        <v>1236.9898132150424</v>
      </c>
      <c r="E227" s="53">
        <f t="shared" si="20"/>
        <v>1.0427215641501355</v>
      </c>
      <c r="F227" s="21">
        <f t="shared" si="21"/>
        <v>1435.8219791292986</v>
      </c>
      <c r="G227" s="21">
        <f>G226*(G$230/G$225)^(1/5)</f>
        <v>1382.2701333682458</v>
      </c>
      <c r="H227" s="20">
        <f t="shared" si="22"/>
        <v>1660.6673358023065</v>
      </c>
      <c r="I227" s="53">
        <f t="shared" si="23"/>
        <v>1.2014057858254352</v>
      </c>
      <c r="J227" s="293">
        <f>H227+L179+N179</f>
        <v>2166.3198085186082</v>
      </c>
    </row>
    <row r="228" spans="1:16" s="57" customFormat="1" ht="12.75" customHeight="1">
      <c r="A228" s="12"/>
      <c r="B228" s="96">
        <v>1953</v>
      </c>
      <c r="C228" s="21">
        <f>C227*(C$230/C$225)^(1/5)</f>
        <v>1306.0195311227376</v>
      </c>
      <c r="D228" s="20">
        <f t="shared" si="19"/>
        <v>1361.8147283029275</v>
      </c>
      <c r="E228" s="53">
        <f t="shared" si="20"/>
        <v>1.0427215641501355</v>
      </c>
      <c r="F228" s="21">
        <f t="shared" si="21"/>
        <v>1561.2391863244936</v>
      </c>
      <c r="G228" s="21">
        <f>G227*(G$230/G$225)^(1/5)</f>
        <v>1533.1460246746326</v>
      </c>
      <c r="H228" s="20">
        <f t="shared" si="22"/>
        <v>1841.9305045593692</v>
      </c>
      <c r="I228" s="53">
        <f t="shared" si="23"/>
        <v>1.2014057858254352</v>
      </c>
      <c r="J228" s="293">
        <f>H228+L180+N180</f>
        <v>2292.4880337942182</v>
      </c>
    </row>
    <row r="229" spans="1:16" s="57" customFormat="1" ht="12.75" customHeight="1">
      <c r="A229" s="12"/>
      <c r="B229" s="96">
        <v>1954</v>
      </c>
      <c r="C229" s="21">
        <f>C228*(C$230/C$225)^(1/5)</f>
        <v>1437.810250281372</v>
      </c>
      <c r="D229" s="20">
        <f t="shared" si="19"/>
        <v>1499.23575312449</v>
      </c>
      <c r="E229" s="53">
        <f t="shared" si="20"/>
        <v>1.0427215641501355</v>
      </c>
      <c r="F229" s="21">
        <f t="shared" si="21"/>
        <v>1704.8681815413804</v>
      </c>
      <c r="G229" s="21">
        <f>G228*(G$230/G$225)^(1/5)</f>
        <v>1700.4901402651017</v>
      </c>
      <c r="H229" s="20">
        <f t="shared" si="22"/>
        <v>2042.978693253599</v>
      </c>
      <c r="I229" s="53">
        <f t="shared" si="23"/>
        <v>1.2014057858254352</v>
      </c>
      <c r="J229" s="293">
        <f>H229+L181+N181</f>
        <v>2437.9700312093119</v>
      </c>
    </row>
    <row r="230" spans="1:16" s="57" customFormat="1" ht="12.75" customHeight="1">
      <c r="A230" s="12"/>
      <c r="B230" s="96">
        <v>1955</v>
      </c>
      <c r="C230" s="292">
        <v>1582.9</v>
      </c>
      <c r="D230" s="20">
        <f t="shared" si="19"/>
        <v>1650.5239638932496</v>
      </c>
      <c r="E230" s="53">
        <f>E$235</f>
        <v>1.0427215641501355</v>
      </c>
      <c r="F230" s="21">
        <f t="shared" si="21"/>
        <v>1870.3549601974428</v>
      </c>
      <c r="G230" s="22">
        <v>1886.1</v>
      </c>
      <c r="H230" s="20">
        <f t="shared" si="22"/>
        <v>2265.9714526453531</v>
      </c>
      <c r="I230" s="53">
        <f t="shared" si="23"/>
        <v>1.2014057858254352</v>
      </c>
      <c r="J230" s="293">
        <f>H230+L182+N182</f>
        <v>2622.0890783678024</v>
      </c>
    </row>
    <row r="231" spans="1:16" s="57" customFormat="1" ht="12.75" customHeight="1">
      <c r="A231" s="12"/>
      <c r="B231" s="96">
        <v>1956</v>
      </c>
      <c r="C231" s="21">
        <f>C230*(C$235/C$230)^(1/5)</f>
        <v>1675.3033530539628</v>
      </c>
      <c r="D231" s="20">
        <f t="shared" si="19"/>
        <v>1746.8749327223948</v>
      </c>
      <c r="E231" s="53">
        <f>E$235</f>
        <v>1.0427215641501355</v>
      </c>
      <c r="F231" s="21">
        <f t="shared" si="21"/>
        <v>2020.9837428525846</v>
      </c>
      <c r="G231" s="21">
        <f>G230*(G$235/G$230)^(1/5)</f>
        <v>2045.1980343576204</v>
      </c>
      <c r="H231" s="20">
        <f t="shared" si="22"/>
        <v>2457.1127516360525</v>
      </c>
      <c r="I231" s="53">
        <f t="shared" si="23"/>
        <v>1.2014057858254352</v>
      </c>
      <c r="J231" s="293">
        <f>H231+L183+N183</f>
        <v>2837.1260629494031</v>
      </c>
    </row>
    <row r="232" spans="1:16" s="57" customFormat="1" ht="12.75" customHeight="1">
      <c r="A232" s="12"/>
      <c r="B232" s="96">
        <v>1957</v>
      </c>
      <c r="C232" s="21">
        <f>C231*(C$235/C$230)^(1/5)</f>
        <v>1773.1008432332117</v>
      </c>
      <c r="D232" s="20">
        <f t="shared" si="19"/>
        <v>1848.8504846520586</v>
      </c>
      <c r="E232" s="53">
        <f>E$235</f>
        <v>1.0427215641501355</v>
      </c>
      <c r="F232" s="21">
        <f t="shared" si="21"/>
        <v>2210.1355179831594</v>
      </c>
      <c r="G232" s="21">
        <f>G231*(G$235/G$230)^(1/5)</f>
        <v>2217.7164518001564</v>
      </c>
      <c r="H232" s="20">
        <f t="shared" si="22"/>
        <v>2664.3773765129627</v>
      </c>
      <c r="I232" s="53">
        <f t="shared" si="23"/>
        <v>1.2014057858254352</v>
      </c>
      <c r="J232" s="293">
        <f>H232+L184+N184</f>
        <v>3124.8634681878652</v>
      </c>
    </row>
    <row r="233" spans="1:16" s="57" customFormat="1" ht="12.75" customHeight="1">
      <c r="A233" s="12"/>
      <c r="B233" s="96">
        <v>1958</v>
      </c>
      <c r="C233" s="21">
        <f>C232*(C$235/C$230)^(1/5)</f>
        <v>1876.6073586274611</v>
      </c>
      <c r="D233" s="20">
        <f t="shared" si="19"/>
        <v>1956.7789602836804</v>
      </c>
      <c r="E233" s="53">
        <f>E$235</f>
        <v>1.0427215641501355</v>
      </c>
      <c r="F233" s="21">
        <f t="shared" si="21"/>
        <v>2400.0045334434872</v>
      </c>
      <c r="G233" s="21">
        <f>G232*(G$235/G$230)^(1/5)</f>
        <v>2404.7873007710282</v>
      </c>
      <c r="H233" s="20">
        <f t="shared" si="22"/>
        <v>2889.1253768258443</v>
      </c>
      <c r="I233" s="53">
        <f t="shared" si="23"/>
        <v>1.2014057858254352</v>
      </c>
      <c r="J233" s="293">
        <f>H233+L185+N185</f>
        <v>3419.8933526181881</v>
      </c>
    </row>
    <row r="234" spans="1:16" s="57" customFormat="1" ht="12.75" customHeight="1">
      <c r="A234" s="12"/>
      <c r="B234" s="96">
        <v>1959</v>
      </c>
      <c r="C234" s="21">
        <f>C233*(C$235/C$230)^(1/5)</f>
        <v>1986.1561692301004</v>
      </c>
      <c r="D234" s="20">
        <f>C234*E234</f>
        <v>2071.0078674260517</v>
      </c>
      <c r="E234" s="53">
        <f>E$235</f>
        <v>1.0427215641501355</v>
      </c>
      <c r="F234" s="21">
        <f t="shared" si="21"/>
        <v>2605.8007274713823</v>
      </c>
      <c r="G234" s="21">
        <f>G233*(G$235/G$230)^(1/5)</f>
        <v>2607.6381213006071</v>
      </c>
      <c r="H234" s="20">
        <f t="shared" si="22"/>
        <v>3132.8315262695173</v>
      </c>
      <c r="I234" s="53">
        <f t="shared" si="23"/>
        <v>1.2014057858254352</v>
      </c>
      <c r="J234" s="293">
        <f>H234+L186+N186</f>
        <v>3655.3599077812769</v>
      </c>
    </row>
    <row r="235" spans="1:16" s="57" customFormat="1" ht="12.75" customHeight="1">
      <c r="A235" s="12"/>
      <c r="B235" s="96">
        <v>1960</v>
      </c>
      <c r="C235" s="292">
        <v>2102.1</v>
      </c>
      <c r="D235" s="23">
        <f>'Table 1.1.4'!C7-'Table 1.1.4'!T7</f>
        <v>2191.9049999999997</v>
      </c>
      <c r="E235" s="294">
        <f>(D235)/(C235)</f>
        <v>1.0427215641501355</v>
      </c>
      <c r="F235" s="82" t="s">
        <v>66</v>
      </c>
      <c r="G235" s="22">
        <v>2827.6</v>
      </c>
      <c r="H235" s="60">
        <f>'Table 1.1.5'!C7-'Table 1.1.5'!Q7</f>
        <v>3397.0950000000003</v>
      </c>
      <c r="I235" s="294">
        <f>(H235)/(G235)</f>
        <v>1.2014057858254352</v>
      </c>
      <c r="J235" s="295" t="s">
        <v>66</v>
      </c>
    </row>
    <row r="236" spans="1:16" s="57" customFormat="1" ht="12.75" customHeight="1">
      <c r="A236" s="12"/>
      <c r="B236" s="96">
        <v>1965</v>
      </c>
      <c r="C236" s="292">
        <v>2839.9</v>
      </c>
      <c r="D236" s="23">
        <f>'Table 1.1.4'!C12-'Table 1.1.4'!T12</f>
        <v>3137.67</v>
      </c>
      <c r="E236" s="294">
        <f>(D236)/(C236)</f>
        <v>1.1048522835311103</v>
      </c>
      <c r="F236" s="82" t="s">
        <v>66</v>
      </c>
      <c r="G236" s="22">
        <v>4118.3999999999996</v>
      </c>
      <c r="H236" s="60">
        <f>'Table 1.1.5'!C12-'Table 1.1.5'!Q12</f>
        <v>5099.33</v>
      </c>
      <c r="I236" s="296">
        <f>(H236)/(G236)</f>
        <v>1.2381823038073039</v>
      </c>
      <c r="J236" s="295" t="s">
        <v>66</v>
      </c>
    </row>
    <row r="237" spans="1:16" s="57" customFormat="1" ht="18" customHeight="1">
      <c r="A237" s="12"/>
      <c r="B237" s="26" t="s">
        <v>23</v>
      </c>
      <c r="C237" s="123" t="s">
        <v>211</v>
      </c>
      <c r="D237" s="27" t="s">
        <v>212</v>
      </c>
      <c r="E237" s="63" t="s">
        <v>213</v>
      </c>
      <c r="F237" s="27" t="s">
        <v>214</v>
      </c>
      <c r="G237" s="63" t="s">
        <v>215</v>
      </c>
      <c r="H237" s="63" t="s">
        <v>531</v>
      </c>
      <c r="I237" s="26" t="s">
        <v>532</v>
      </c>
      <c r="J237" s="123" t="s">
        <v>533</v>
      </c>
    </row>
    <row r="238" spans="1:16" s="41" customFormat="1" ht="48" customHeight="1">
      <c r="B238" s="39" t="str">
        <f>C237</f>
        <v>[P4a]</v>
      </c>
      <c r="C238" s="40" t="s">
        <v>534</v>
      </c>
      <c r="D238" s="40"/>
      <c r="E238" s="40"/>
      <c r="F238" s="40"/>
      <c r="G238" s="40"/>
      <c r="H238" s="40"/>
      <c r="I238" s="40"/>
      <c r="J238" s="40"/>
      <c r="K238" s="40"/>
      <c r="L238" s="40"/>
      <c r="M238" s="40"/>
      <c r="N238" s="40"/>
      <c r="O238" s="40"/>
      <c r="P238" s="40"/>
    </row>
    <row r="239" spans="1:16" s="41" customFormat="1" ht="36" customHeight="1">
      <c r="B239" s="39" t="str">
        <f>D237</f>
        <v>[P4b]</v>
      </c>
      <c r="C239" s="40" t="s">
        <v>535</v>
      </c>
      <c r="D239" s="40"/>
      <c r="E239" s="40"/>
      <c r="F239" s="40"/>
      <c r="G239" s="40"/>
      <c r="H239" s="40"/>
      <c r="I239" s="40"/>
      <c r="J239" s="40"/>
      <c r="K239" s="40"/>
      <c r="L239" s="40"/>
      <c r="M239" s="40"/>
      <c r="N239" s="40"/>
      <c r="O239" s="40"/>
      <c r="P239" s="40"/>
    </row>
    <row r="240" spans="1:16" s="41" customFormat="1" ht="24.75" customHeight="1">
      <c r="B240" s="39" t="str">
        <f>E237</f>
        <v>[P4c]</v>
      </c>
      <c r="C240" s="40" t="s">
        <v>536</v>
      </c>
      <c r="D240" s="40"/>
      <c r="E240" s="40"/>
      <c r="F240" s="40"/>
      <c r="G240" s="40"/>
      <c r="H240" s="40"/>
      <c r="I240" s="40"/>
      <c r="J240" s="40"/>
      <c r="K240" s="40"/>
      <c r="L240" s="40"/>
      <c r="M240" s="40"/>
      <c r="N240" s="40"/>
      <c r="O240" s="40"/>
      <c r="P240" s="40"/>
    </row>
    <row r="241" spans="1:16" s="41" customFormat="1" ht="24.75" customHeight="1">
      <c r="B241" s="39" t="str">
        <f>F237</f>
        <v>[P4d]</v>
      </c>
      <c r="C241" s="40" t="s">
        <v>537</v>
      </c>
      <c r="D241" s="40"/>
      <c r="E241" s="40"/>
      <c r="F241" s="40"/>
      <c r="G241" s="40"/>
      <c r="H241" s="40"/>
      <c r="I241" s="40"/>
      <c r="J241" s="40"/>
      <c r="K241" s="40"/>
      <c r="L241" s="40"/>
      <c r="M241" s="40"/>
      <c r="N241" s="40"/>
      <c r="O241" s="40"/>
      <c r="P241" s="40"/>
    </row>
    <row r="242" spans="1:16" s="41" customFormat="1" ht="36" customHeight="1">
      <c r="B242" s="39" t="str">
        <f>G237</f>
        <v>[P4e]</v>
      </c>
      <c r="C242" s="40" t="s">
        <v>538</v>
      </c>
      <c r="D242" s="40"/>
      <c r="E242" s="40"/>
      <c r="F242" s="40"/>
      <c r="G242" s="40"/>
      <c r="H242" s="40"/>
      <c r="I242" s="40"/>
      <c r="J242" s="40"/>
      <c r="K242" s="40"/>
      <c r="L242" s="40"/>
      <c r="M242" s="40"/>
      <c r="N242" s="40"/>
      <c r="O242" s="40"/>
      <c r="P242" s="40"/>
    </row>
    <row r="243" spans="1:16" s="41" customFormat="1" ht="36" customHeight="1">
      <c r="B243" s="39" t="str">
        <f>H237</f>
        <v>[P4f]</v>
      </c>
      <c r="C243" s="40" t="s">
        <v>539</v>
      </c>
      <c r="D243" s="40"/>
      <c r="E243" s="40"/>
      <c r="F243" s="40"/>
      <c r="G243" s="40"/>
      <c r="H243" s="40"/>
      <c r="I243" s="40"/>
      <c r="J243" s="40"/>
      <c r="K243" s="40"/>
      <c r="L243" s="40"/>
      <c r="M243" s="40"/>
      <c r="N243" s="40"/>
      <c r="O243" s="40"/>
      <c r="P243" s="40"/>
    </row>
    <row r="244" spans="1:16" s="41" customFormat="1" ht="24.75" customHeight="1">
      <c r="B244" s="39" t="str">
        <f>I237</f>
        <v>[P4g]</v>
      </c>
      <c r="C244" s="40" t="s">
        <v>540</v>
      </c>
      <c r="D244" s="40"/>
      <c r="E244" s="40"/>
      <c r="F244" s="40"/>
      <c r="G244" s="40"/>
      <c r="H244" s="40"/>
      <c r="I244" s="40"/>
      <c r="J244" s="40"/>
      <c r="K244" s="40"/>
      <c r="L244" s="40"/>
      <c r="M244" s="40"/>
      <c r="N244" s="40"/>
      <c r="O244" s="40"/>
      <c r="P244" s="40"/>
    </row>
    <row r="245" spans="1:16" s="41" customFormat="1" ht="18" customHeight="1">
      <c r="B245" s="39" t="str">
        <f>J237</f>
        <v>[P4h]</v>
      </c>
      <c r="C245" s="40" t="s">
        <v>541</v>
      </c>
      <c r="D245" s="40"/>
      <c r="E245" s="40"/>
      <c r="F245" s="40"/>
      <c r="G245" s="40"/>
      <c r="H245" s="40"/>
      <c r="I245" s="40"/>
      <c r="J245" s="40"/>
      <c r="K245" s="40"/>
      <c r="L245" s="40"/>
      <c r="M245" s="40"/>
      <c r="N245" s="40"/>
      <c r="O245" s="40"/>
      <c r="P245" s="40"/>
    </row>
    <row r="246" spans="1:16" s="38" customFormat="1" ht="18" customHeight="1">
      <c r="A246" s="44" t="s">
        <v>221</v>
      </c>
      <c r="B246" s="297" t="s">
        <v>542</v>
      </c>
      <c r="C246" s="297"/>
      <c r="D246" s="297"/>
      <c r="E246" s="297"/>
      <c r="F246" s="297"/>
      <c r="G246" s="297"/>
      <c r="H246" s="297"/>
      <c r="I246" s="298"/>
      <c r="J246" s="298"/>
      <c r="K246" s="45"/>
      <c r="L246" s="45"/>
      <c r="M246" s="45"/>
      <c r="N246" s="45"/>
      <c r="O246" s="45"/>
      <c r="P246" s="45"/>
    </row>
    <row r="247" spans="1:16" s="57" customFormat="1" ht="36" customHeight="1">
      <c r="A247" s="116"/>
      <c r="B247" s="79" t="s">
        <v>94</v>
      </c>
      <c r="C247" s="28" t="s">
        <v>543</v>
      </c>
      <c r="D247" s="29"/>
      <c r="E247" s="28" t="s">
        <v>544</v>
      </c>
      <c r="F247" s="30"/>
      <c r="G247" s="28" t="s">
        <v>545</v>
      </c>
      <c r="H247" s="30"/>
      <c r="I247" s="28" t="s">
        <v>546</v>
      </c>
      <c r="J247" s="30"/>
      <c r="K247" s="62"/>
      <c r="L247" s="62"/>
    </row>
    <row r="248" spans="1:16" s="57" customFormat="1" ht="29.25" customHeight="1">
      <c r="A248" s="12"/>
      <c r="B248" s="13"/>
      <c r="C248" s="14" t="s">
        <v>547</v>
      </c>
      <c r="D248" s="79" t="s">
        <v>437</v>
      </c>
      <c r="E248" s="14" t="s">
        <v>547</v>
      </c>
      <c r="F248" s="79" t="s">
        <v>437</v>
      </c>
      <c r="G248" s="14" t="s">
        <v>547</v>
      </c>
      <c r="H248" s="116" t="s">
        <v>437</v>
      </c>
      <c r="I248" s="14" t="s">
        <v>547</v>
      </c>
      <c r="J248" s="116" t="s">
        <v>437</v>
      </c>
      <c r="K248" s="62"/>
      <c r="L248" s="62"/>
    </row>
    <row r="249" spans="1:16" s="57" customFormat="1" ht="15" customHeight="1">
      <c r="A249" s="12"/>
      <c r="B249" s="50"/>
      <c r="C249" s="18"/>
      <c r="D249" s="10"/>
      <c r="E249" s="18"/>
      <c r="F249" s="10"/>
      <c r="G249" s="18"/>
      <c r="H249" s="95"/>
      <c r="I249" s="18"/>
      <c r="J249" s="95"/>
      <c r="K249" s="62"/>
      <c r="L249" s="62"/>
    </row>
    <row r="250" spans="1:16" s="57" customFormat="1" ht="15" customHeight="1">
      <c r="A250" s="12"/>
      <c r="B250" s="125">
        <v>2002</v>
      </c>
      <c r="C250" s="23">
        <f>C80</f>
        <v>2136.6999999999998</v>
      </c>
      <c r="D250" s="23">
        <f>D80</f>
        <v>1891.1</v>
      </c>
      <c r="E250" s="23">
        <f>F80</f>
        <v>1654.8</v>
      </c>
      <c r="F250" s="23">
        <f>H80</f>
        <v>1441.3</v>
      </c>
      <c r="G250" s="299" t="s">
        <v>66</v>
      </c>
      <c r="H250" s="300" t="s">
        <v>66</v>
      </c>
      <c r="I250" s="85">
        <f>F80/$B80</f>
        <v>0.1507076373836542</v>
      </c>
      <c r="J250" s="85">
        <f>H80/$B80</f>
        <v>0.13126354711207444</v>
      </c>
      <c r="K250" s="103"/>
      <c r="L250" s="103"/>
    </row>
    <row r="251" spans="1:16" s="57" customFormat="1" ht="15" customHeight="1">
      <c r="A251" s="12"/>
      <c r="B251" s="125">
        <v>2003</v>
      </c>
      <c r="C251" s="23">
        <f>C81</f>
        <v>2293.5</v>
      </c>
      <c r="D251" s="23">
        <f>D81</f>
        <v>1911.9</v>
      </c>
      <c r="E251" s="23">
        <f>F81</f>
        <v>1741.8</v>
      </c>
      <c r="F251" s="23">
        <f>H81</f>
        <v>1526.6</v>
      </c>
      <c r="G251" s="301">
        <f t="shared" ref="G251:G260" si="26">((E251/E250))/(($C251/$C250))</f>
        <v>0.98061284903121082</v>
      </c>
      <c r="H251" s="302">
        <f>((F251/F250))/(($D251/$D250))</f>
        <v>1.0476595901976331</v>
      </c>
      <c r="I251" s="85">
        <f>F81/$B81</f>
        <v>0.15130035961849167</v>
      </c>
      <c r="J251" s="85">
        <f>H81/$B81</f>
        <v>0.13260714720036135</v>
      </c>
      <c r="K251" s="103"/>
      <c r="L251" s="103"/>
    </row>
    <row r="252" spans="1:16" s="57" customFormat="1" ht="15" customHeight="1">
      <c r="A252" s="12"/>
      <c r="B252" s="125">
        <v>2004</v>
      </c>
      <c r="C252" s="23">
        <f>C82</f>
        <v>2422</v>
      </c>
      <c r="D252" s="23">
        <f>D82</f>
        <v>2046.8</v>
      </c>
      <c r="E252" s="23">
        <f>F82</f>
        <v>1832.9</v>
      </c>
      <c r="F252" s="23">
        <f>H82</f>
        <v>1627.5</v>
      </c>
      <c r="G252" s="301">
        <f t="shared" si="26"/>
        <v>0.99647197878671601</v>
      </c>
      <c r="H252" s="302">
        <f>((F252/F251))/(($D252/$D251))</f>
        <v>0.99583068460566959</v>
      </c>
      <c r="I252" s="85">
        <f>F82/$B82</f>
        <v>0.14929543047975891</v>
      </c>
      <c r="J252" s="85">
        <f>H82/$B82</f>
        <v>0.13256495886617251</v>
      </c>
      <c r="K252" s="103"/>
      <c r="L252" s="103"/>
    </row>
    <row r="253" spans="1:16" s="57" customFormat="1" ht="15" customHeight="1">
      <c r="A253" s="12"/>
      <c r="B253" s="125">
        <v>2005</v>
      </c>
      <c r="C253" s="23">
        <f>C83</f>
        <v>2603.5</v>
      </c>
      <c r="D253" s="23">
        <f>D83</f>
        <v>2323.1</v>
      </c>
      <c r="E253" s="23">
        <f>F83</f>
        <v>1925.3</v>
      </c>
      <c r="F253" s="23">
        <f>H83</f>
        <v>1765.6</v>
      </c>
      <c r="G253" s="301">
        <f t="shared" si="26"/>
        <v>0.97718366024458558</v>
      </c>
      <c r="H253" s="302">
        <f>((F253/F252))/(($D253/$D252))</f>
        <v>0.95582597039643458</v>
      </c>
      <c r="I253" s="85">
        <f>F83/$B83</f>
        <v>0.14702109137559755</v>
      </c>
      <c r="J253" s="85">
        <f>H83/$B83</f>
        <v>0.13482596942437802</v>
      </c>
      <c r="K253" s="103"/>
      <c r="L253" s="103"/>
    </row>
    <row r="254" spans="1:16" s="57" customFormat="1" ht="15" customHeight="1">
      <c r="A254" s="12"/>
      <c r="B254" s="125">
        <v>2006</v>
      </c>
      <c r="C254" s="23">
        <f>C84</f>
        <v>2759.8</v>
      </c>
      <c r="D254" s="23">
        <f>D84</f>
        <v>2559.6</v>
      </c>
      <c r="E254" s="23">
        <f>F84</f>
        <v>2005.3</v>
      </c>
      <c r="F254" s="23">
        <f>H84</f>
        <v>1868.7</v>
      </c>
      <c r="G254" s="301">
        <f t="shared" si="26"/>
        <v>0.98256415076887982</v>
      </c>
      <c r="H254" s="302">
        <f>((F254/F253))/(($D254/$D253))</f>
        <v>0.96060107596742328</v>
      </c>
      <c r="I254" s="85">
        <f>F84/$B84</f>
        <v>0.1447044646014187</v>
      </c>
      <c r="J254" s="85">
        <f>H84/$B84</f>
        <v>0.13484727123157189</v>
      </c>
      <c r="K254" s="103"/>
      <c r="L254" s="103"/>
    </row>
    <row r="255" spans="1:16" s="57" customFormat="1" ht="12.75" customHeight="1">
      <c r="A255" s="12"/>
      <c r="B255" s="125">
        <v>2007</v>
      </c>
      <c r="C255" s="23">
        <f>C85</f>
        <v>2927.5</v>
      </c>
      <c r="D255" s="23">
        <f>D85</f>
        <v>2687.3</v>
      </c>
      <c r="E255" s="23">
        <f>F85</f>
        <v>2141.1999999999998</v>
      </c>
      <c r="F255" s="23">
        <f>H85</f>
        <v>1959.9</v>
      </c>
      <c r="G255" s="301">
        <f t="shared" si="26"/>
        <v>1.0066038507775064</v>
      </c>
      <c r="H255" s="300" t="s">
        <v>66</v>
      </c>
      <c r="I255" s="85">
        <f>F85/$B85</f>
        <v>0.14786986457462897</v>
      </c>
      <c r="J255" s="85">
        <f>H85/$B85</f>
        <v>0.13534940574435614</v>
      </c>
      <c r="K255" s="103"/>
      <c r="L255" s="103"/>
      <c r="N255"/>
    </row>
    <row r="256" spans="1:16" s="89" customFormat="1" ht="12.75" customHeight="1">
      <c r="A256" s="12"/>
      <c r="B256" s="125">
        <v>2008</v>
      </c>
      <c r="C256" s="23">
        <f>C86</f>
        <v>3140.8</v>
      </c>
      <c r="D256" s="23">
        <f>D86</f>
        <v>2534</v>
      </c>
      <c r="E256" s="23">
        <f>F86</f>
        <v>2246.6</v>
      </c>
      <c r="F256" s="23">
        <f>H86</f>
        <v>1972.3</v>
      </c>
      <c r="G256" s="301">
        <f t="shared" si="26"/>
        <v>0.97796911875392512</v>
      </c>
      <c r="H256" s="302">
        <f>((F256/F255))/(($D256/$D255))</f>
        <v>1.0672068481338122</v>
      </c>
      <c r="I256" s="85">
        <f>F86/$B86</f>
        <v>0.15261917216361079</v>
      </c>
      <c r="J256" s="85">
        <f>H86/$B86</f>
        <v>0.13398504106573916</v>
      </c>
      <c r="K256" s="103"/>
      <c r="L256" s="103"/>
      <c r="M256" s="57"/>
      <c r="N256"/>
    </row>
    <row r="257" spans="1:16" s="89" customFormat="1" ht="12.75" customHeight="1">
      <c r="A257" s="62"/>
      <c r="B257" s="125">
        <v>2009</v>
      </c>
      <c r="C257" s="23">
        <f>C87</f>
        <v>3479.9</v>
      </c>
      <c r="D257" s="23">
        <f>D87</f>
        <v>2250.6999999999998</v>
      </c>
      <c r="E257" s="23">
        <f>F87</f>
        <v>2358.3000000000002</v>
      </c>
      <c r="F257" s="23">
        <f>H87</f>
        <v>1987</v>
      </c>
      <c r="G257" s="301">
        <f t="shared" si="26"/>
        <v>0.94742930690004212</v>
      </c>
      <c r="H257" s="302">
        <f>((F257/F256))/(($D257/$D256))</f>
        <v>1.1342633303933762</v>
      </c>
      <c r="I257" s="85">
        <f>F87/$B87</f>
        <v>0.16356750983152887</v>
      </c>
      <c r="J257" s="85">
        <f>H87/$B87</f>
        <v>0.13781479965875751</v>
      </c>
      <c r="K257" s="103"/>
      <c r="L257" s="103"/>
      <c r="M257" s="57"/>
      <c r="N257"/>
    </row>
    <row r="258" spans="1:16" s="89" customFormat="1" ht="12.75" customHeight="1">
      <c r="A258" s="62"/>
      <c r="B258" s="125">
        <v>2010</v>
      </c>
      <c r="C258" s="23">
        <f>C88</f>
        <v>3721.3</v>
      </c>
      <c r="D258" s="23">
        <f>D88</f>
        <v>2406.8000000000002</v>
      </c>
      <c r="E258" s="23">
        <f>F88</f>
        <v>2385.5</v>
      </c>
      <c r="F258" s="23">
        <f>H88</f>
        <v>2075.1999999999998</v>
      </c>
      <c r="G258" s="301">
        <f t="shared" si="26"/>
        <v>0.94591573743790736</v>
      </c>
      <c r="H258" s="302">
        <f>((F258/F257))/(($D258/$D257))</f>
        <v>0.97665167614757675</v>
      </c>
      <c r="I258" s="85">
        <f>F88/$B88</f>
        <v>0.15947667849956212</v>
      </c>
      <c r="J258" s="85">
        <f>H88/$B88</f>
        <v>0.13873234257903638</v>
      </c>
      <c r="K258" s="103"/>
      <c r="L258" s="103"/>
      <c r="M258" s="57"/>
      <c r="N258"/>
    </row>
    <row r="259" spans="1:16" s="89" customFormat="1" ht="12.75" customHeight="1">
      <c r="A259" s="62"/>
      <c r="B259" s="125">
        <v>2011</v>
      </c>
      <c r="C259" s="23">
        <f>C89</f>
        <v>3764.9</v>
      </c>
      <c r="D259" s="23">
        <f>D89</f>
        <v>2526.3000000000002</v>
      </c>
      <c r="E259" s="23">
        <f>F89</f>
        <v>2368.6</v>
      </c>
      <c r="F259" s="23">
        <f>H89</f>
        <v>2103.8000000000002</v>
      </c>
      <c r="G259" s="301">
        <f t="shared" si="26"/>
        <v>0.98141692123495805</v>
      </c>
      <c r="H259" s="302">
        <f>((F259/F258))/(($D259/$D258))</f>
        <v>0.96582751306677828</v>
      </c>
      <c r="I259" s="85">
        <f>F89/$B89</f>
        <v>0.15248039758462192</v>
      </c>
      <c r="J259" s="85">
        <f>H89/$B89</f>
        <v>0.13543369941675573</v>
      </c>
      <c r="K259" s="103"/>
      <c r="L259" s="103"/>
      <c r="M259" s="57"/>
      <c r="N259"/>
    </row>
    <row r="260" spans="1:16" s="89" customFormat="1" ht="12.75" customHeight="1">
      <c r="A260" s="62"/>
      <c r="B260" s="125">
        <v>2012</v>
      </c>
      <c r="C260" s="23">
        <f>C90</f>
        <v>3772.7</v>
      </c>
      <c r="D260" s="23">
        <f>D90</f>
        <v>2677.1</v>
      </c>
      <c r="E260" s="23">
        <f>F90</f>
        <v>2405.9</v>
      </c>
      <c r="F260" s="23">
        <f>H90</f>
        <v>2113.5</v>
      </c>
      <c r="G260" s="303">
        <f t="shared" si="26"/>
        <v>1.0136476561087022</v>
      </c>
      <c r="H260" s="304">
        <f>((F260/F259))/(($D260/$D259))</f>
        <v>0.94802137485552451</v>
      </c>
      <c r="I260" s="85">
        <f>F90/$B90</f>
        <v>0.14810460091353433</v>
      </c>
      <c r="J260" s="85">
        <f>H90/$B90</f>
        <v>0.13010477327850486</v>
      </c>
      <c r="K260" s="103"/>
      <c r="L260" s="103"/>
      <c r="M260" s="57"/>
      <c r="N260"/>
    </row>
    <row r="261" spans="1:16" s="89" customFormat="1" ht="18" customHeight="1">
      <c r="A261" s="62"/>
      <c r="B261" s="305" t="s">
        <v>192</v>
      </c>
      <c r="C261" s="306"/>
      <c r="D261" s="306"/>
      <c r="E261" s="306"/>
      <c r="F261" s="307"/>
      <c r="G261" s="301">
        <f>AVERAGE(G251:G258)</f>
        <v>0.97684383158759658</v>
      </c>
      <c r="H261" s="301">
        <f>AVERAGE(H255:H258)</f>
        <v>1.059373951558255</v>
      </c>
      <c r="I261" s="308">
        <f>AVERAGE(I251:I258)</f>
        <v>0.15198182139307467</v>
      </c>
      <c r="J261" s="309">
        <f>AVERAGE(J251:J258)</f>
        <v>0.13509086697129663</v>
      </c>
      <c r="K261" s="103"/>
      <c r="L261" s="103"/>
      <c r="M261" s="57"/>
      <c r="N261"/>
    </row>
    <row r="262" spans="1:16" s="89" customFormat="1" ht="18" customHeight="1">
      <c r="B262" s="123" t="s">
        <v>23</v>
      </c>
      <c r="C262" s="28" t="s">
        <v>227</v>
      </c>
      <c r="D262" s="30"/>
      <c r="E262" s="30"/>
      <c r="F262" s="29"/>
      <c r="G262" s="28" t="s">
        <v>228</v>
      </c>
      <c r="H262" s="30"/>
      <c r="I262" s="30"/>
      <c r="J262" s="30"/>
      <c r="K262" s="62"/>
      <c r="L262" s="62"/>
      <c r="M262" s="57"/>
      <c r="N262" s="57"/>
    </row>
    <row r="263" spans="1:16" s="89" customFormat="1" ht="18" customHeight="1">
      <c r="B263" s="39" t="str">
        <f>C262</f>
        <v>[P5a]</v>
      </c>
      <c r="C263" s="88" t="s">
        <v>548</v>
      </c>
      <c r="D263" s="88"/>
      <c r="E263" s="88"/>
      <c r="F263" s="88"/>
      <c r="G263" s="88"/>
      <c r="H263" s="88"/>
      <c r="I263" s="88"/>
      <c r="J263" s="88"/>
      <c r="K263" s="88"/>
      <c r="L263" s="88"/>
      <c r="M263" s="88"/>
      <c r="N263" s="88"/>
      <c r="O263" s="88"/>
      <c r="P263" s="88"/>
    </row>
    <row r="264" spans="1:16" s="89" customFormat="1" ht="18" customHeight="1">
      <c r="B264" s="39" t="str">
        <f>G262</f>
        <v>[P5b]</v>
      </c>
      <c r="C264" s="88" t="s">
        <v>549</v>
      </c>
      <c r="D264" s="88"/>
      <c r="E264" s="88"/>
      <c r="F264" s="88"/>
      <c r="G264" s="88"/>
      <c r="H264" s="88"/>
      <c r="I264" s="88"/>
      <c r="J264" s="88"/>
      <c r="K264" s="88"/>
      <c r="L264" s="88"/>
      <c r="M264" s="88"/>
      <c r="N264" s="88"/>
      <c r="O264" s="88"/>
      <c r="P264" s="88"/>
    </row>
    <row r="265" spans="1:16" s="89" customFormat="1" ht="24.75" customHeight="1">
      <c r="B265" s="39" t="e">
        <f>#REF!</f>
        <v>#REF!</v>
      </c>
      <c r="C265" s="88" t="s">
        <v>550</v>
      </c>
      <c r="D265" s="88"/>
      <c r="E265" s="88"/>
      <c r="F265" s="88"/>
      <c r="G265" s="88"/>
      <c r="H265" s="88"/>
      <c r="I265" s="88"/>
      <c r="J265" s="88"/>
      <c r="K265" s="88"/>
      <c r="L265" s="88"/>
      <c r="M265" s="88"/>
      <c r="N265" s="88"/>
      <c r="O265" s="88"/>
      <c r="P265" s="88"/>
    </row>
    <row r="266" spans="1:16" s="38" customFormat="1" ht="18" customHeight="1">
      <c r="A266" s="43" t="s">
        <v>110</v>
      </c>
      <c r="B266" s="43"/>
      <c r="C266" s="43"/>
      <c r="D266" s="43"/>
      <c r="E266" s="43"/>
      <c r="F266" s="43"/>
      <c r="G266" s="43"/>
      <c r="H266" s="43"/>
      <c r="I266" s="148"/>
      <c r="J266" s="148"/>
      <c r="K266" s="148"/>
      <c r="L266" s="148"/>
      <c r="M266" s="148"/>
      <c r="N266" s="148"/>
      <c r="O266" s="148"/>
      <c r="P266" s="36"/>
    </row>
    <row r="267" spans="1:16" s="89" customFormat="1" ht="24.75" customHeight="1">
      <c r="A267" s="39" t="s">
        <v>111</v>
      </c>
      <c r="B267" s="88" t="s">
        <v>112</v>
      </c>
      <c r="C267" s="88"/>
      <c r="D267" s="88"/>
      <c r="E267" s="88"/>
      <c r="F267" s="88"/>
      <c r="G267" s="88"/>
      <c r="H267" s="88"/>
      <c r="I267" s="88"/>
      <c r="J267" s="88"/>
      <c r="K267" s="88"/>
      <c r="L267" s="88"/>
      <c r="M267" s="88"/>
      <c r="N267" s="88"/>
      <c r="O267" s="88"/>
      <c r="P267" s="88"/>
    </row>
    <row r="268" spans="1:16" s="310" customFormat="1" ht="24.75" customHeight="1">
      <c r="A268" s="39" t="s">
        <v>113</v>
      </c>
      <c r="B268" s="88" t="s">
        <v>422</v>
      </c>
      <c r="C268" s="88"/>
      <c r="D268" s="88"/>
      <c r="E268" s="88"/>
      <c r="F268" s="88"/>
      <c r="G268" s="88"/>
      <c r="H268" s="88"/>
      <c r="I268" s="88"/>
      <c r="J268" s="88"/>
      <c r="K268" s="88"/>
      <c r="L268" s="88"/>
      <c r="M268" s="88"/>
      <c r="N268" s="88"/>
      <c r="O268" s="88"/>
      <c r="P268" s="88"/>
    </row>
    <row r="269" spans="1:16" s="310" customFormat="1" ht="24.75" customHeight="1">
      <c r="A269" s="39" t="s">
        <v>115</v>
      </c>
      <c r="B269" s="88" t="s">
        <v>351</v>
      </c>
      <c r="C269" s="88"/>
      <c r="D269" s="88"/>
      <c r="E269" s="88"/>
      <c r="F269" s="88"/>
      <c r="G269" s="88"/>
      <c r="H269" s="88"/>
      <c r="I269" s="88"/>
      <c r="J269" s="88"/>
      <c r="K269" s="88"/>
      <c r="L269" s="88"/>
      <c r="M269" s="88"/>
      <c r="N269" s="88"/>
      <c r="O269" s="88"/>
      <c r="P269" s="88"/>
    </row>
    <row r="270" spans="1:16" s="310" customFormat="1" ht="24.75" customHeight="1">
      <c r="A270" s="39" t="s">
        <v>117</v>
      </c>
      <c r="B270" s="88" t="s">
        <v>551</v>
      </c>
      <c r="C270" s="88"/>
      <c r="D270" s="88"/>
      <c r="E270" s="88"/>
      <c r="F270" s="88"/>
      <c r="G270" s="88"/>
      <c r="H270" s="88"/>
      <c r="I270" s="88"/>
      <c r="J270" s="88"/>
      <c r="K270" s="88"/>
      <c r="L270" s="88"/>
      <c r="M270" s="88"/>
      <c r="N270" s="88"/>
      <c r="O270" s="88"/>
      <c r="P270" s="88"/>
    </row>
    <row r="271" spans="1:16" s="310" customFormat="1" ht="24.75" customHeight="1">
      <c r="A271" s="39" t="s">
        <v>119</v>
      </c>
      <c r="B271" s="88" t="s">
        <v>376</v>
      </c>
      <c r="C271" s="88"/>
      <c r="D271" s="88"/>
      <c r="E271" s="88"/>
      <c r="F271" s="88"/>
      <c r="G271" s="88"/>
      <c r="H271" s="88"/>
      <c r="I271" s="88"/>
      <c r="J271" s="88"/>
      <c r="K271" s="88"/>
      <c r="L271" s="88"/>
      <c r="M271" s="88"/>
      <c r="N271" s="88"/>
      <c r="O271" s="88"/>
      <c r="P271" s="88"/>
    </row>
    <row r="272" spans="1:16" s="310" customFormat="1" ht="24.75" customHeight="1">
      <c r="A272" s="39" t="s">
        <v>121</v>
      </c>
      <c r="B272" s="88" t="s">
        <v>552</v>
      </c>
      <c r="C272" s="88"/>
      <c r="D272" s="88"/>
      <c r="E272" s="88"/>
      <c r="F272" s="88"/>
      <c r="G272" s="88"/>
      <c r="H272" s="88"/>
      <c r="I272" s="88"/>
      <c r="J272" s="88"/>
      <c r="K272" s="88"/>
      <c r="L272" s="88"/>
      <c r="M272" s="88"/>
      <c r="N272" s="88"/>
      <c r="O272" s="88"/>
      <c r="P272" s="88"/>
    </row>
    <row r="273" spans="1:16" s="89" customFormat="1" ht="18" customHeight="1">
      <c r="A273" s="39" t="s">
        <v>123</v>
      </c>
      <c r="B273" s="88" t="s">
        <v>553</v>
      </c>
      <c r="C273" s="88"/>
      <c r="D273" s="88"/>
      <c r="E273" s="88"/>
      <c r="F273" s="88"/>
      <c r="G273" s="88"/>
      <c r="H273" s="88"/>
      <c r="I273" s="88"/>
      <c r="J273" s="88"/>
      <c r="K273" s="88"/>
      <c r="L273" s="88"/>
      <c r="M273" s="88"/>
      <c r="N273" s="88"/>
      <c r="O273" s="88"/>
      <c r="P273" s="88"/>
    </row>
    <row r="274" spans="1:16" s="310" customFormat="1" ht="36" customHeight="1">
      <c r="A274" s="39" t="s">
        <v>125</v>
      </c>
      <c r="B274" s="88" t="s">
        <v>116</v>
      </c>
      <c r="C274" s="88"/>
      <c r="D274" s="88"/>
      <c r="E274" s="88"/>
      <c r="F274" s="88"/>
      <c r="G274" s="88"/>
      <c r="H274" s="88"/>
      <c r="I274" s="88"/>
      <c r="J274" s="88"/>
      <c r="K274" s="88"/>
      <c r="L274" s="88"/>
      <c r="M274" s="88"/>
      <c r="N274" s="88"/>
      <c r="O274" s="88"/>
      <c r="P274" s="88"/>
    </row>
    <row r="275" spans="1:16" s="310" customFormat="1" ht="24.75" customHeight="1">
      <c r="A275" s="39" t="s">
        <v>127</v>
      </c>
      <c r="B275" s="88" t="s">
        <v>554</v>
      </c>
      <c r="C275" s="88"/>
      <c r="D275" s="88"/>
      <c r="E275" s="88"/>
      <c r="F275" s="88"/>
      <c r="G275" s="88"/>
      <c r="H275" s="88"/>
      <c r="I275" s="88"/>
      <c r="J275" s="88"/>
      <c r="K275" s="88"/>
      <c r="L275" s="88"/>
      <c r="M275" s="88"/>
      <c r="N275" s="88"/>
      <c r="O275" s="88"/>
      <c r="P275" s="88"/>
    </row>
    <row r="276" spans="1:16" s="310" customFormat="1" ht="24.75" customHeight="1">
      <c r="A276" s="39" t="s">
        <v>129</v>
      </c>
      <c r="B276" s="88" t="s">
        <v>555</v>
      </c>
      <c r="C276" s="88"/>
      <c r="D276" s="88"/>
      <c r="E276" s="88"/>
      <c r="F276" s="88"/>
      <c r="G276" s="88"/>
      <c r="H276" s="88"/>
      <c r="I276" s="88"/>
      <c r="J276" s="88"/>
      <c r="K276" s="88"/>
      <c r="L276" s="88"/>
      <c r="M276" s="88"/>
      <c r="N276" s="88"/>
      <c r="O276" s="88"/>
      <c r="P276" s="88"/>
    </row>
    <row r="277" spans="1:16" s="310" customFormat="1" ht="24.75" customHeight="1">
      <c r="A277" s="39" t="s">
        <v>131</v>
      </c>
      <c r="B277" s="88" t="s">
        <v>556</v>
      </c>
      <c r="C277" s="88"/>
      <c r="D277" s="88"/>
      <c r="E277" s="88"/>
      <c r="F277" s="88"/>
      <c r="G277" s="88"/>
      <c r="H277" s="88"/>
      <c r="I277" s="88"/>
      <c r="J277" s="88"/>
      <c r="K277" s="88"/>
      <c r="L277" s="88"/>
      <c r="M277" s="88"/>
      <c r="N277" s="88"/>
      <c r="O277" s="88"/>
      <c r="P277" s="88"/>
    </row>
    <row r="278" spans="1:16" s="310" customFormat="1" ht="24.75" customHeight="1">
      <c r="A278" s="39" t="s">
        <v>133</v>
      </c>
      <c r="B278" s="88" t="s">
        <v>557</v>
      </c>
      <c r="C278" s="88"/>
      <c r="D278" s="88"/>
      <c r="E278" s="88"/>
      <c r="F278" s="88"/>
      <c r="G278" s="88"/>
      <c r="H278" s="88"/>
      <c r="I278" s="88"/>
      <c r="J278" s="88"/>
      <c r="K278" s="88"/>
      <c r="L278" s="88"/>
      <c r="M278" s="88"/>
      <c r="N278" s="88"/>
      <c r="O278" s="88"/>
      <c r="P278" s="88"/>
    </row>
    <row r="279" spans="1:16" s="310" customFormat="1" ht="24.75" customHeight="1">
      <c r="A279" s="39" t="s">
        <v>135</v>
      </c>
      <c r="B279" s="88" t="s">
        <v>558</v>
      </c>
      <c r="C279" s="88"/>
      <c r="D279" s="88"/>
      <c r="E279" s="88"/>
      <c r="F279" s="88"/>
      <c r="G279" s="88"/>
      <c r="H279" s="88"/>
      <c r="I279" s="88"/>
      <c r="J279" s="88"/>
      <c r="K279" s="88"/>
      <c r="L279" s="88"/>
      <c r="M279" s="88"/>
      <c r="N279" s="88"/>
      <c r="O279" s="88"/>
      <c r="P279" s="88"/>
    </row>
    <row r="280" spans="1:16" s="310" customFormat="1" ht="36" customHeight="1">
      <c r="A280" s="39" t="s">
        <v>137</v>
      </c>
      <c r="B280" s="88" t="s">
        <v>559</v>
      </c>
      <c r="C280" s="88"/>
      <c r="D280" s="88"/>
      <c r="E280" s="88"/>
      <c r="F280" s="88"/>
      <c r="G280" s="88"/>
      <c r="H280" s="88"/>
      <c r="I280" s="88"/>
      <c r="J280" s="88"/>
      <c r="K280" s="88"/>
      <c r="L280" s="88"/>
      <c r="M280" s="88"/>
      <c r="N280" s="88"/>
      <c r="O280" s="88"/>
      <c r="P280" s="88"/>
    </row>
    <row r="281" spans="1:16" ht="18" customHeight="1">
      <c r="A281" s="91" t="s">
        <v>560</v>
      </c>
      <c r="B281" s="91"/>
      <c r="C281" s="91"/>
      <c r="D281" s="91"/>
      <c r="E281" s="91"/>
      <c r="F281" s="91"/>
      <c r="G281" s="91"/>
      <c r="H281" s="91"/>
      <c r="I281" s="91"/>
      <c r="J281" s="91"/>
      <c r="K281" s="91"/>
      <c r="L281" s="91"/>
      <c r="M281" s="91"/>
      <c r="N281" s="91"/>
      <c r="O281" s="91"/>
      <c r="P281" s="91"/>
    </row>
    <row r="286" spans="1:16" s="167" customFormat="1" ht="30" customHeight="1">
      <c r="A286" s="311"/>
      <c r="B286" s="311"/>
      <c r="C286" s="311"/>
      <c r="D286" s="311"/>
      <c r="E286" s="311"/>
    </row>
    <row r="287" spans="1:16" s="167" customFormat="1" ht="30" customHeight="1"/>
    <row r="288" spans="1:16" s="167" customFormat="1" ht="30" customHeight="1"/>
    <row r="289" s="167" customFormat="1" ht="30" customHeight="1"/>
    <row r="290" s="167" customFormat="1" ht="30" customHeight="1"/>
  </sheetData>
  <mergeCells count="130">
    <mergeCell ref="B279:P279"/>
    <mergeCell ref="B280:P280"/>
    <mergeCell ref="A281:P281"/>
    <mergeCell ref="B273:P273"/>
    <mergeCell ref="B274:P274"/>
    <mergeCell ref="B275:P275"/>
    <mergeCell ref="B276:P276"/>
    <mergeCell ref="B277:P277"/>
    <mergeCell ref="B278:P278"/>
    <mergeCell ref="B267:P267"/>
    <mergeCell ref="B268:P268"/>
    <mergeCell ref="B269:P269"/>
    <mergeCell ref="B270:P270"/>
    <mergeCell ref="B271:P271"/>
    <mergeCell ref="B272:P272"/>
    <mergeCell ref="C262:F262"/>
    <mergeCell ref="G262:J262"/>
    <mergeCell ref="C263:P263"/>
    <mergeCell ref="C264:P264"/>
    <mergeCell ref="C265:P265"/>
    <mergeCell ref="A266:H266"/>
    <mergeCell ref="E248:E249"/>
    <mergeCell ref="F248:F249"/>
    <mergeCell ref="G248:G249"/>
    <mergeCell ref="H248:H249"/>
    <mergeCell ref="I248:I249"/>
    <mergeCell ref="J248:J249"/>
    <mergeCell ref="C244:P244"/>
    <mergeCell ref="C245:P245"/>
    <mergeCell ref="A247:A256"/>
    <mergeCell ref="B247:B249"/>
    <mergeCell ref="C247:D247"/>
    <mergeCell ref="E247:F247"/>
    <mergeCell ref="G247:H247"/>
    <mergeCell ref="I247:J247"/>
    <mergeCell ref="C248:C249"/>
    <mergeCell ref="D248:D249"/>
    <mergeCell ref="C238:P238"/>
    <mergeCell ref="C239:P239"/>
    <mergeCell ref="C240:P240"/>
    <mergeCell ref="C241:P241"/>
    <mergeCell ref="C242:P242"/>
    <mergeCell ref="C243:P243"/>
    <mergeCell ref="C199:P199"/>
    <mergeCell ref="C200:P200"/>
    <mergeCell ref="B201:O201"/>
    <mergeCell ref="A202:A237"/>
    <mergeCell ref="B202:B203"/>
    <mergeCell ref="C202:F202"/>
    <mergeCell ref="G202:J202"/>
    <mergeCell ref="M193:N193"/>
    <mergeCell ref="D194:P194"/>
    <mergeCell ref="D195:P195"/>
    <mergeCell ref="C196:P196"/>
    <mergeCell ref="C197:P197"/>
    <mergeCell ref="C198:P198"/>
    <mergeCell ref="A154:A193"/>
    <mergeCell ref="E154:F154"/>
    <mergeCell ref="G154:H154"/>
    <mergeCell ref="I154:J154"/>
    <mergeCell ref="K154:L154"/>
    <mergeCell ref="M154:N154"/>
    <mergeCell ref="C193:D193"/>
    <mergeCell ref="E193:H193"/>
    <mergeCell ref="I193:J193"/>
    <mergeCell ref="K193:L193"/>
    <mergeCell ref="C149:D149"/>
    <mergeCell ref="E149:F149"/>
    <mergeCell ref="C150:P150"/>
    <mergeCell ref="C151:P151"/>
    <mergeCell ref="B152:P152"/>
    <mergeCell ref="B153:B155"/>
    <mergeCell ref="C153:D154"/>
    <mergeCell ref="E153:J153"/>
    <mergeCell ref="K153:M153"/>
    <mergeCell ref="E132:F132"/>
    <mergeCell ref="C133:P133"/>
    <mergeCell ref="C134:P134"/>
    <mergeCell ref="C135:P135"/>
    <mergeCell ref="B136:J136"/>
    <mergeCell ref="A137:A145"/>
    <mergeCell ref="B137:B138"/>
    <mergeCell ref="C137:D137"/>
    <mergeCell ref="E137:F137"/>
    <mergeCell ref="B115:P115"/>
    <mergeCell ref="A116:H116"/>
    <mergeCell ref="B117:F117"/>
    <mergeCell ref="A118:A128"/>
    <mergeCell ref="B118:B119"/>
    <mergeCell ref="C118:D118"/>
    <mergeCell ref="E118:E119"/>
    <mergeCell ref="F118:F119"/>
    <mergeCell ref="B109:P109"/>
    <mergeCell ref="B110:P110"/>
    <mergeCell ref="B111:P111"/>
    <mergeCell ref="B112:P112"/>
    <mergeCell ref="B113:P113"/>
    <mergeCell ref="B114:P114"/>
    <mergeCell ref="B102:P102"/>
    <mergeCell ref="B104:P104"/>
    <mergeCell ref="B105:P105"/>
    <mergeCell ref="B106:P106"/>
    <mergeCell ref="B107:P107"/>
    <mergeCell ref="B108:P108"/>
    <mergeCell ref="J5:J6"/>
    <mergeCell ref="K5:K6"/>
    <mergeCell ref="L5:L6"/>
    <mergeCell ref="M5:M6"/>
    <mergeCell ref="N100:P100"/>
    <mergeCell ref="B101:F101"/>
    <mergeCell ref="F4:G4"/>
    <mergeCell ref="H4:J4"/>
    <mergeCell ref="K4:M4"/>
    <mergeCell ref="N4:N6"/>
    <mergeCell ref="O4:O6"/>
    <mergeCell ref="P4:P6"/>
    <mergeCell ref="F5:F6"/>
    <mergeCell ref="G5:G6"/>
    <mergeCell ref="H5:H6"/>
    <mergeCell ref="I5:I6"/>
    <mergeCell ref="A1:P1"/>
    <mergeCell ref="A2:P2"/>
    <mergeCell ref="A3:A6"/>
    <mergeCell ref="B3:B6"/>
    <mergeCell ref="C3:E3"/>
    <mergeCell ref="F3:M3"/>
    <mergeCell ref="N3:P3"/>
    <mergeCell ref="C4:C6"/>
    <mergeCell ref="D4:D6"/>
    <mergeCell ref="E4:E6"/>
  </mergeCells>
  <printOptions horizontalCentered="1"/>
  <pageMargins left="0.36" right="0.31" top="0.31" bottom="0.75" header="0.3" footer="0.3"/>
  <pageSetup scale="70" fitToHeight="12" orientation="landscape" r:id="rId1"/>
  <rowBreaks count="6" manualBreakCount="6">
    <brk id="49" max="15" man="1"/>
    <brk id="102" max="22" man="1"/>
    <brk id="115" max="22" man="1"/>
    <brk id="151" max="22" man="1"/>
    <brk id="200" max="22" man="1"/>
    <brk id="245" max="20"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50"/>
  <sheetViews>
    <sheetView view="pageBreakPreview" topLeftCell="A135" zoomScale="150" zoomScaleNormal="100" zoomScaleSheetLayoutView="150" workbookViewId="0">
      <selection activeCell="L9" sqref="L9"/>
    </sheetView>
  </sheetViews>
  <sheetFormatPr defaultRowHeight="30" customHeight="1"/>
  <cols>
    <col min="1" max="1" width="6.7109375" customWidth="1"/>
    <col min="2" max="2" width="8.140625" customWidth="1"/>
    <col min="3" max="11" width="7.7109375" customWidth="1"/>
  </cols>
  <sheetData>
    <row r="1" spans="1:12" s="251" customFormat="1" ht="18" customHeight="1">
      <c r="A1" s="92" t="s">
        <v>561</v>
      </c>
      <c r="B1" s="92"/>
      <c r="C1" s="92"/>
      <c r="D1" s="92"/>
      <c r="E1" s="92"/>
      <c r="F1" s="92"/>
      <c r="G1" s="92"/>
      <c r="H1" s="92"/>
      <c r="I1" s="92"/>
      <c r="J1" s="92"/>
      <c r="K1" s="92"/>
      <c r="L1" s="92"/>
    </row>
    <row r="2" spans="1:12" ht="18" customHeight="1" thickBot="1">
      <c r="A2" s="169" t="s">
        <v>428</v>
      </c>
      <c r="B2" s="169"/>
      <c r="C2" s="169"/>
      <c r="D2" s="169"/>
      <c r="E2" s="169"/>
      <c r="F2" s="169"/>
      <c r="G2" s="169"/>
      <c r="H2" s="169"/>
      <c r="I2" s="169"/>
      <c r="J2" s="169"/>
      <c r="K2" s="169"/>
      <c r="L2" s="169"/>
    </row>
    <row r="3" spans="1:12" ht="18" customHeight="1" thickTop="1">
      <c r="A3" s="2" t="s">
        <v>1</v>
      </c>
      <c r="B3" s="5" t="s">
        <v>562</v>
      </c>
      <c r="C3" s="6"/>
      <c r="D3" s="6"/>
      <c r="E3" s="6"/>
      <c r="F3" s="6"/>
      <c r="G3" s="6"/>
      <c r="H3" s="6"/>
      <c r="I3" s="6"/>
      <c r="J3" s="6"/>
      <c r="K3" s="6"/>
      <c r="L3" s="6"/>
    </row>
    <row r="4" spans="1:12" ht="24.75" customHeight="1">
      <c r="A4" s="7"/>
      <c r="B4" s="14" t="s">
        <v>563</v>
      </c>
      <c r="C4" s="30" t="s">
        <v>564</v>
      </c>
      <c r="D4" s="30"/>
      <c r="E4" s="30"/>
      <c r="F4" s="30"/>
      <c r="G4" s="30"/>
      <c r="H4" s="30"/>
      <c r="I4" s="30"/>
      <c r="J4" s="30"/>
      <c r="K4" s="30"/>
      <c r="L4" s="30"/>
    </row>
    <row r="5" spans="1:12" ht="18" customHeight="1">
      <c r="A5" s="7"/>
      <c r="B5" s="47"/>
      <c r="C5" s="28" t="s">
        <v>565</v>
      </c>
      <c r="D5" s="30"/>
      <c r="E5" s="29"/>
      <c r="F5" s="28" t="s">
        <v>566</v>
      </c>
      <c r="G5" s="30"/>
      <c r="H5" s="29"/>
      <c r="I5" s="28" t="s">
        <v>567</v>
      </c>
      <c r="J5" s="30"/>
      <c r="K5" s="30"/>
      <c r="L5" s="30"/>
    </row>
    <row r="6" spans="1:12" ht="60" customHeight="1">
      <c r="A6" s="16" t="s">
        <v>22</v>
      </c>
      <c r="B6" s="18"/>
      <c r="C6" s="156" t="s">
        <v>148</v>
      </c>
      <c r="D6" s="156" t="s">
        <v>279</v>
      </c>
      <c r="E6" s="156" t="s">
        <v>568</v>
      </c>
      <c r="F6" s="156" t="s">
        <v>148</v>
      </c>
      <c r="G6" s="63" t="s">
        <v>279</v>
      </c>
      <c r="H6" s="63" t="s">
        <v>568</v>
      </c>
      <c r="I6" s="312" t="s">
        <v>569</v>
      </c>
      <c r="J6" s="312" t="s">
        <v>570</v>
      </c>
      <c r="K6" s="313" t="s">
        <v>571</v>
      </c>
      <c r="L6" s="314" t="s">
        <v>572</v>
      </c>
    </row>
    <row r="7" spans="1:12" ht="12.75" customHeight="1">
      <c r="A7" s="58">
        <v>1929</v>
      </c>
      <c r="B7" s="140">
        <v>0.1</v>
      </c>
      <c r="C7" s="315" t="s">
        <v>65</v>
      </c>
      <c r="D7" s="315" t="s">
        <v>66</v>
      </c>
      <c r="E7" s="315" t="s">
        <v>65</v>
      </c>
      <c r="F7" s="253">
        <f>SUM(G7:H7)</f>
        <v>14.853752840393021</v>
      </c>
      <c r="G7" s="315" t="s">
        <v>66</v>
      </c>
      <c r="H7" s="316">
        <f>H8*'Table 1.3.1'!L7/'Table 1.3.1'!L8</f>
        <v>14.853752840393021</v>
      </c>
      <c r="I7" s="317">
        <f>F7/'Table 1.3.1'!P7</f>
        <v>3.4017738880346982E-2</v>
      </c>
      <c r="J7" s="317">
        <f>F7/'Table 1.3.1'!E7</f>
        <v>0.15019482429189007</v>
      </c>
      <c r="K7" s="317">
        <f>F7/'Table 1.3.1'!K7</f>
        <v>4.2125823017063038E-2</v>
      </c>
      <c r="L7" s="318">
        <f>F7/'Table 1.3.1'!L7</f>
        <v>4.3978451480703659E-2</v>
      </c>
    </row>
    <row r="8" spans="1:12" ht="12.75" customHeight="1">
      <c r="A8" s="58">
        <v>1930</v>
      </c>
      <c r="B8" s="140">
        <v>0.1</v>
      </c>
      <c r="C8" s="315" t="s">
        <v>65</v>
      </c>
      <c r="D8" s="315" t="s">
        <v>66</v>
      </c>
      <c r="E8" s="315" t="s">
        <v>65</v>
      </c>
      <c r="F8" s="253">
        <f t="shared" ref="F8:F71" si="0">SUM(G8:H8)</f>
        <v>15.042085617922899</v>
      </c>
      <c r="G8" s="315" t="s">
        <v>66</v>
      </c>
      <c r="H8" s="255">
        <f>H9*'Table 1.3.1'!L8/'Table 1.3.1'!L9</f>
        <v>15.042085617922899</v>
      </c>
      <c r="I8" s="319">
        <f>F8/'Table 1.3.1'!P8</f>
        <v>3.415832941701686E-2</v>
      </c>
      <c r="J8" s="319">
        <f>F8/'Table 1.3.1'!E8</f>
        <v>0.15297472100506482</v>
      </c>
      <c r="K8" s="319">
        <f>F8/'Table 1.3.1'!K8</f>
        <v>4.2125823017063038E-2</v>
      </c>
      <c r="L8" s="318">
        <f>F8/'Table 1.3.1'!L8</f>
        <v>4.3978451480703652E-2</v>
      </c>
    </row>
    <row r="9" spans="1:12" ht="12.75" customHeight="1">
      <c r="A9" s="58">
        <v>1931</v>
      </c>
      <c r="B9" s="140">
        <v>0.3</v>
      </c>
      <c r="C9" s="315" t="s">
        <v>65</v>
      </c>
      <c r="D9" s="315" t="s">
        <v>66</v>
      </c>
      <c r="E9" s="315" t="s">
        <v>65</v>
      </c>
      <c r="F9" s="253">
        <f t="shared" si="0"/>
        <v>15.339655481768347</v>
      </c>
      <c r="G9" s="315" t="s">
        <v>66</v>
      </c>
      <c r="H9" s="255">
        <f>H10*'Table 1.3.1'!L9/'Table 1.3.1'!L10</f>
        <v>15.339655481768347</v>
      </c>
      <c r="I9" s="319">
        <f>F9/'Table 1.3.1'!P9</f>
        <v>3.4338906182169227E-2</v>
      </c>
      <c r="J9" s="319">
        <f>F9/'Table 1.3.1'!E9</f>
        <v>0.15666422768536262</v>
      </c>
      <c r="K9" s="319">
        <f>F9/'Table 1.3.1'!K9</f>
        <v>4.2125823017063038E-2</v>
      </c>
      <c r="L9" s="318">
        <f>F9/'Table 1.3.1'!L9</f>
        <v>4.3978451480703645E-2</v>
      </c>
    </row>
    <row r="10" spans="1:12" ht="12.75" customHeight="1">
      <c r="A10" s="58">
        <v>1932</v>
      </c>
      <c r="B10" s="140">
        <v>0.1</v>
      </c>
      <c r="C10" s="315" t="s">
        <v>65</v>
      </c>
      <c r="D10" s="315" t="s">
        <v>66</v>
      </c>
      <c r="E10" s="315" t="s">
        <v>65</v>
      </c>
      <c r="F10" s="253">
        <f t="shared" si="0"/>
        <v>15.742544380063658</v>
      </c>
      <c r="G10" s="315" t="s">
        <v>66</v>
      </c>
      <c r="H10" s="255">
        <f>H11*'Table 1.3.1'!L10/'Table 1.3.1'!L11</f>
        <v>15.742544380063658</v>
      </c>
      <c r="I10" s="319">
        <f>F10/'Table 1.3.1'!P10</f>
        <v>3.4554111395948432E-2</v>
      </c>
      <c r="J10" s="319">
        <f>F10/'Table 1.3.1'!E10</f>
        <v>0.16124591194917781</v>
      </c>
      <c r="K10" s="319">
        <f>F10/'Table 1.3.1'!K10</f>
        <v>4.2125823017063038E-2</v>
      </c>
      <c r="L10" s="318">
        <f>F10/'Table 1.3.1'!L10</f>
        <v>4.3978451480703652E-2</v>
      </c>
    </row>
    <row r="11" spans="1:12" ht="12.75" customHeight="1">
      <c r="A11" s="58">
        <v>1933</v>
      </c>
      <c r="B11" s="140">
        <v>0.5</v>
      </c>
      <c r="C11" s="315" t="s">
        <v>65</v>
      </c>
      <c r="D11" s="315" t="s">
        <v>66</v>
      </c>
      <c r="E11" s="315" t="s">
        <v>65</v>
      </c>
      <c r="F11" s="253">
        <f t="shared" si="0"/>
        <v>16.247900809438114</v>
      </c>
      <c r="G11" s="315" t="s">
        <v>66</v>
      </c>
      <c r="H11" s="255">
        <f>H12*'Table 1.3.1'!L11/'Table 1.3.1'!L12</f>
        <v>16.247900809438114</v>
      </c>
      <c r="I11" s="319">
        <f>F11/'Table 1.3.1'!P11</f>
        <v>3.4798317149412526E-2</v>
      </c>
      <c r="J11" s="319">
        <f>F11/'Table 1.3.1'!E11</f>
        <v>0.16670519701974126</v>
      </c>
      <c r="K11" s="319">
        <f>F11/'Table 1.3.1'!K11</f>
        <v>4.2125823017063031E-2</v>
      </c>
      <c r="L11" s="318">
        <f>F11/'Table 1.3.1'!L11</f>
        <v>4.3978451480703645E-2</v>
      </c>
    </row>
    <row r="12" spans="1:12" ht="12.75" customHeight="1">
      <c r="A12" s="58">
        <v>1934</v>
      </c>
      <c r="B12" s="140">
        <v>1.6</v>
      </c>
      <c r="C12" s="315" t="s">
        <v>65</v>
      </c>
      <c r="D12" s="315" t="s">
        <v>66</v>
      </c>
      <c r="E12" s="315" t="s">
        <v>65</v>
      </c>
      <c r="F12" s="253">
        <f t="shared" si="0"/>
        <v>16.853855601025295</v>
      </c>
      <c r="G12" s="315" t="s">
        <v>66</v>
      </c>
      <c r="H12" s="255">
        <f>H13*'Table 1.3.1'!L12/'Table 1.3.1'!L13</f>
        <v>16.853855601025295</v>
      </c>
      <c r="I12" s="319">
        <f>F12/'Table 1.3.1'!P12</f>
        <v>3.5065918648606309E-2</v>
      </c>
      <c r="J12" s="319">
        <f>F12/'Table 1.3.1'!E12</f>
        <v>0.17303103741286627</v>
      </c>
      <c r="K12" s="319">
        <f>F12/'Table 1.3.1'!K12</f>
        <v>4.2125823017063038E-2</v>
      </c>
      <c r="L12" s="318">
        <f>F12/'Table 1.3.1'!L12</f>
        <v>4.3978451480703652E-2</v>
      </c>
    </row>
    <row r="13" spans="1:12" ht="12.75" customHeight="1">
      <c r="A13" s="58">
        <v>1935</v>
      </c>
      <c r="B13" s="140">
        <v>1.7</v>
      </c>
      <c r="C13" s="315" t="s">
        <v>65</v>
      </c>
      <c r="D13" s="315" t="s">
        <v>66</v>
      </c>
      <c r="E13" s="315" t="s">
        <v>65</v>
      </c>
      <c r="F13" s="253">
        <f t="shared" si="0"/>
        <v>17.559450400883581</v>
      </c>
      <c r="G13" s="315" t="s">
        <v>66</v>
      </c>
      <c r="H13" s="255">
        <f>H14*'Table 1.3.1'!L13/'Table 1.3.1'!L14</f>
        <v>17.559450400883581</v>
      </c>
      <c r="I13" s="319">
        <f>F13/'Table 1.3.1'!P13</f>
        <v>3.5351562660513217E-2</v>
      </c>
      <c r="J13" s="319">
        <f>F13/'Table 1.3.1'!E13</f>
        <v>0.18021641586405837</v>
      </c>
      <c r="K13" s="319">
        <f>F13/'Table 1.3.1'!K13</f>
        <v>4.2125823017063038E-2</v>
      </c>
      <c r="L13" s="318">
        <f>F13/'Table 1.3.1'!L13</f>
        <v>4.3978451480703652E-2</v>
      </c>
    </row>
    <row r="14" spans="1:12" ht="12.75" customHeight="1">
      <c r="A14" s="58">
        <v>1936</v>
      </c>
      <c r="B14" s="140">
        <v>0.7</v>
      </c>
      <c r="C14" s="315" t="s">
        <v>65</v>
      </c>
      <c r="D14" s="315" t="s">
        <v>66</v>
      </c>
      <c r="E14" s="315" t="s">
        <v>65</v>
      </c>
      <c r="F14" s="253">
        <f t="shared" si="0"/>
        <v>18.680984057109736</v>
      </c>
      <c r="G14" s="315" t="s">
        <v>66</v>
      </c>
      <c r="H14" s="255">
        <f>H15*'Table 1.3.1'!L14/'Table 1.3.1'!L15</f>
        <v>18.680984057109736</v>
      </c>
      <c r="I14" s="319">
        <f>F14/'Table 1.3.1'!P14</f>
        <v>3.5209432059496552E-2</v>
      </c>
      <c r="J14" s="319">
        <f>F14/'Table 1.3.1'!E14</f>
        <v>0.17658260577538409</v>
      </c>
      <c r="K14" s="319">
        <f>F14/'Table 1.3.1'!K14</f>
        <v>4.2125823017063038E-2</v>
      </c>
      <c r="L14" s="318">
        <f>F14/'Table 1.3.1'!L14</f>
        <v>4.3978451480703659E-2</v>
      </c>
    </row>
    <row r="15" spans="1:12" ht="12.75" customHeight="1">
      <c r="A15" s="58">
        <v>1937</v>
      </c>
      <c r="B15" s="140">
        <v>0.7</v>
      </c>
      <c r="C15" s="315" t="s">
        <v>65</v>
      </c>
      <c r="D15" s="315" t="s">
        <v>66</v>
      </c>
      <c r="E15" s="315" t="s">
        <v>65</v>
      </c>
      <c r="F15" s="253">
        <f t="shared" si="0"/>
        <v>19.877653425492365</v>
      </c>
      <c r="G15" s="315" t="s">
        <v>66</v>
      </c>
      <c r="H15" s="255">
        <f>H16*'Table 1.3.1'!L15/'Table 1.3.1'!L16</f>
        <v>19.877653425492365</v>
      </c>
      <c r="I15" s="319">
        <f>F15/'Table 1.3.1'!P15</f>
        <v>3.5066714288021057E-2</v>
      </c>
      <c r="J15" s="319">
        <f>F15/'Table 1.3.1'!E15</f>
        <v>0.1730504120083019</v>
      </c>
      <c r="K15" s="319">
        <f>F15/'Table 1.3.1'!K15</f>
        <v>4.2125823017063038E-2</v>
      </c>
      <c r="L15" s="318">
        <f>F15/'Table 1.3.1'!L15</f>
        <v>4.3978451480703659E-2</v>
      </c>
    </row>
    <row r="16" spans="1:12" ht="12.75" customHeight="1">
      <c r="A16" s="58">
        <v>1938</v>
      </c>
      <c r="B16" s="140">
        <v>0.6</v>
      </c>
      <c r="C16" s="315" t="s">
        <v>65</v>
      </c>
      <c r="D16" s="315" t="s">
        <v>66</v>
      </c>
      <c r="E16" s="315" t="s">
        <v>65</v>
      </c>
      <c r="F16" s="253">
        <f t="shared" si="0"/>
        <v>21.154821343134497</v>
      </c>
      <c r="G16" s="315" t="s">
        <v>66</v>
      </c>
      <c r="H16" s="255">
        <f>H17*'Table 1.3.1'!L16/'Table 1.3.1'!L17</f>
        <v>21.154821343134497</v>
      </c>
      <c r="I16" s="319">
        <f>F16/'Table 1.3.1'!P16</f>
        <v>3.4923486789045784E-2</v>
      </c>
      <c r="J16" s="319">
        <f>F16/'Table 1.3.1'!E16</f>
        <v>0.16961754369997878</v>
      </c>
      <c r="K16" s="319">
        <f>F16/'Table 1.3.1'!K16</f>
        <v>4.2125823017063045E-2</v>
      </c>
      <c r="L16" s="318">
        <f>F16/'Table 1.3.1'!L16</f>
        <v>4.3978451480703659E-2</v>
      </c>
    </row>
    <row r="17" spans="1:12" ht="12.75" customHeight="1">
      <c r="A17" s="58">
        <v>1939</v>
      </c>
      <c r="B17" s="140">
        <v>0.9</v>
      </c>
      <c r="C17" s="315" t="s">
        <v>65</v>
      </c>
      <c r="D17" s="315" t="s">
        <v>66</v>
      </c>
      <c r="E17" s="315" t="s">
        <v>65</v>
      </c>
      <c r="F17" s="253">
        <f t="shared" si="0"/>
        <v>22.518262922471916</v>
      </c>
      <c r="G17" s="315" t="s">
        <v>66</v>
      </c>
      <c r="H17" s="255">
        <f>H18*'Table 1.3.1'!L17/'Table 1.3.1'!L18</f>
        <v>22.518262922471916</v>
      </c>
      <c r="I17" s="319">
        <f>F17/'Table 1.3.1'!P17</f>
        <v>3.4779829859532881E-2</v>
      </c>
      <c r="J17" s="319">
        <f>F17/'Table 1.3.1'!E17</f>
        <v>0.16628176731003699</v>
      </c>
      <c r="K17" s="319">
        <f>F17/'Table 1.3.1'!K17</f>
        <v>4.2125823017063045E-2</v>
      </c>
      <c r="L17" s="318">
        <f>F17/'Table 1.3.1'!L17</f>
        <v>4.3978451480703659E-2</v>
      </c>
    </row>
    <row r="18" spans="1:12" ht="18" customHeight="1">
      <c r="A18" s="58">
        <v>1940</v>
      </c>
      <c r="B18" s="140">
        <v>0.7</v>
      </c>
      <c r="C18" s="320">
        <v>22</v>
      </c>
      <c r="D18" s="315" t="s">
        <v>66</v>
      </c>
      <c r="E18" s="320">
        <f>C18</f>
        <v>22</v>
      </c>
      <c r="F18" s="253">
        <f t="shared" si="0"/>
        <v>24</v>
      </c>
      <c r="G18" s="315" t="s">
        <v>66</v>
      </c>
      <c r="H18" s="255">
        <f>0.5*E18+0.5*E19</f>
        <v>24</v>
      </c>
      <c r="I18" s="319">
        <f>F18/'Table 1.3.1'!P18</f>
        <v>3.4519195338081489E-2</v>
      </c>
      <c r="J18" s="319">
        <f>F18/'Table 1.3.1'!E18</f>
        <v>0.16048838665953707</v>
      </c>
      <c r="K18" s="319">
        <f>F18/'Table 1.3.1'!K18</f>
        <v>4.2125823017063038E-2</v>
      </c>
      <c r="L18" s="318">
        <f>F18/'Table 1.3.1'!L18</f>
        <v>4.3978451480703659E-2</v>
      </c>
    </row>
    <row r="19" spans="1:12" ht="12.75" customHeight="1">
      <c r="A19" s="58">
        <v>1941</v>
      </c>
      <c r="B19" s="140">
        <v>0.6</v>
      </c>
      <c r="C19" s="320">
        <v>26</v>
      </c>
      <c r="D19" s="315" t="s">
        <v>66</v>
      </c>
      <c r="E19" s="320">
        <f>C19</f>
        <v>26</v>
      </c>
      <c r="F19" s="253">
        <f t="shared" si="0"/>
        <v>28</v>
      </c>
      <c r="G19" s="315" t="s">
        <v>66</v>
      </c>
      <c r="H19" s="255">
        <f>0.5*E19+0.5*E20</f>
        <v>28</v>
      </c>
      <c r="I19" s="319">
        <f>F19/'Table 1.3.1'!P19</f>
        <v>3.5393314182750102E-2</v>
      </c>
      <c r="J19" s="319">
        <f>F19/'Table 1.3.1'!E19</f>
        <v>0.15302408486899077</v>
      </c>
      <c r="K19" s="319">
        <f>F19/'Table 1.3.1'!K19</f>
        <v>4.4016012643264171E-2</v>
      </c>
      <c r="L19" s="318">
        <f>F19/'Table 1.3.1'!L19</f>
        <v>4.6042625426150702E-2</v>
      </c>
    </row>
    <row r="20" spans="1:12" ht="12.75" customHeight="1">
      <c r="A20" s="58">
        <v>1942</v>
      </c>
      <c r="B20" s="140">
        <v>0.7</v>
      </c>
      <c r="C20" s="320">
        <v>30</v>
      </c>
      <c r="D20" s="315" t="s">
        <v>66</v>
      </c>
      <c r="E20" s="320">
        <f>C20</f>
        <v>30</v>
      </c>
      <c r="F20" s="253">
        <f t="shared" si="0"/>
        <v>31</v>
      </c>
      <c r="G20" s="315" t="s">
        <v>66</v>
      </c>
      <c r="H20" s="255">
        <f>0.5*E20+0.5*E21</f>
        <v>31</v>
      </c>
      <c r="I20" s="319">
        <f>F20/'Table 1.3.1'!P20</f>
        <v>3.437685451442643E-2</v>
      </c>
      <c r="J20" s="319">
        <f>F20/'Table 1.3.1'!E20</f>
        <v>0.13837788491807615</v>
      </c>
      <c r="K20" s="319">
        <f>F20/'Table 1.3.1'!K20</f>
        <v>4.3739267407366042E-2</v>
      </c>
      <c r="L20" s="318">
        <f>F20/'Table 1.3.1'!L20</f>
        <v>4.5739896993134112E-2</v>
      </c>
    </row>
    <row r="21" spans="1:12" ht="12.75" customHeight="1">
      <c r="A21" s="58">
        <v>1943</v>
      </c>
      <c r="B21" s="140">
        <v>0.8</v>
      </c>
      <c r="C21" s="320">
        <v>32</v>
      </c>
      <c r="D21" s="315" t="s">
        <v>66</v>
      </c>
      <c r="E21" s="320">
        <f>C21</f>
        <v>32</v>
      </c>
      <c r="F21" s="253">
        <f t="shared" si="0"/>
        <v>55</v>
      </c>
      <c r="G21" s="315" t="s">
        <v>66</v>
      </c>
      <c r="H21" s="255">
        <f>0.5*E21+0.5*E22</f>
        <v>55</v>
      </c>
      <c r="I21" s="319">
        <f>F21/'Table 1.3.1'!P21</f>
        <v>5.3403716413539047E-2</v>
      </c>
      <c r="J21" s="319">
        <f>F21/'Table 1.3.1'!E21</f>
        <v>0.20038123880187741</v>
      </c>
      <c r="K21" s="319">
        <f>F21/'Table 1.3.1'!K21</f>
        <v>6.7866540790087554E-2</v>
      </c>
      <c r="L21" s="318">
        <f>F21/'Table 1.3.1'!L21</f>
        <v>7.2807750992665843E-2</v>
      </c>
    </row>
    <row r="22" spans="1:12" ht="12.75" customHeight="1">
      <c r="A22" s="58">
        <v>1944</v>
      </c>
      <c r="B22" s="140">
        <v>0.8</v>
      </c>
      <c r="C22" s="320">
        <v>78</v>
      </c>
      <c r="D22" s="315" t="s">
        <v>66</v>
      </c>
      <c r="E22" s="320">
        <f>C22</f>
        <v>78</v>
      </c>
      <c r="F22" s="253">
        <f t="shared" si="0"/>
        <v>84.5</v>
      </c>
      <c r="G22" s="315" t="s">
        <v>66</v>
      </c>
      <c r="H22" s="255">
        <f>0.5*E22+0.5*E23</f>
        <v>84.5</v>
      </c>
      <c r="I22" s="319">
        <f>F22/'Table 1.3.1'!P22</f>
        <v>7.1690461706834963E-2</v>
      </c>
      <c r="J22" s="319">
        <f>F22/'Table 1.3.1'!E22</f>
        <v>0.25105604201075554</v>
      </c>
      <c r="K22" s="319">
        <f>F22/'Table 1.3.1'!K22</f>
        <v>9.1193593221079741E-2</v>
      </c>
      <c r="L22" s="318">
        <f>F22/'Table 1.3.1'!L22</f>
        <v>0.10034435556445614</v>
      </c>
    </row>
    <row r="23" spans="1:12" ht="12.75" customHeight="1">
      <c r="A23" s="58">
        <v>1945</v>
      </c>
      <c r="B23" s="140">
        <v>0.8</v>
      </c>
      <c r="C23" s="320">
        <v>91</v>
      </c>
      <c r="D23" s="315" t="s">
        <v>66</v>
      </c>
      <c r="E23" s="320">
        <f>C23</f>
        <v>91</v>
      </c>
      <c r="F23" s="253">
        <f t="shared" si="0"/>
        <v>79.5</v>
      </c>
      <c r="G23" s="315" t="s">
        <v>66</v>
      </c>
      <c r="H23" s="255">
        <f>0.5*E23+0.5*E24</f>
        <v>79.5</v>
      </c>
      <c r="I23" s="319">
        <f>F23/'Table 1.3.1'!P23</f>
        <v>5.8800243101916463E-2</v>
      </c>
      <c r="J23" s="319">
        <f>F23/'Table 1.3.1'!E23</f>
        <v>0.19242682439121145</v>
      </c>
      <c r="K23" s="319">
        <f>F23/'Table 1.3.1'!K23</f>
        <v>7.8064306551429624E-2</v>
      </c>
      <c r="L23" s="318">
        <f>F23/'Table 1.3.1'!L23</f>
        <v>8.4674351048741991E-2</v>
      </c>
    </row>
    <row r="24" spans="1:12" ht="12.75" customHeight="1">
      <c r="A24" s="58">
        <v>1946</v>
      </c>
      <c r="B24" s="140">
        <v>0.9</v>
      </c>
      <c r="C24" s="320">
        <v>68</v>
      </c>
      <c r="D24" s="315" t="s">
        <v>66</v>
      </c>
      <c r="E24" s="320">
        <f>C24</f>
        <v>68</v>
      </c>
      <c r="F24" s="253">
        <f t="shared" si="0"/>
        <v>63</v>
      </c>
      <c r="G24" s="315" t="s">
        <v>66</v>
      </c>
      <c r="H24" s="255">
        <f>0.5*E24+0.5*E25</f>
        <v>63</v>
      </c>
      <c r="I24" s="319">
        <f>F24/'Table 1.3.1'!P24</f>
        <v>4.0521100420495053E-2</v>
      </c>
      <c r="J24" s="319">
        <f>F24/'Table 1.3.1'!E24</f>
        <v>0.12408304964548986</v>
      </c>
      <c r="K24" s="319">
        <f>F24/'Table 1.3.1'!K24</f>
        <v>5.6755679362278454E-2</v>
      </c>
      <c r="L24" s="318">
        <f>F24/'Table 1.3.1'!L24</f>
        <v>6.0170708819011279E-2</v>
      </c>
    </row>
    <row r="25" spans="1:12" ht="12.75" customHeight="1">
      <c r="A25" s="58">
        <v>1947</v>
      </c>
      <c r="B25" s="140">
        <v>1</v>
      </c>
      <c r="C25" s="320">
        <v>58</v>
      </c>
      <c r="D25" s="315" t="s">
        <v>66</v>
      </c>
      <c r="E25" s="320">
        <f>C25</f>
        <v>58</v>
      </c>
      <c r="F25" s="253">
        <f t="shared" si="0"/>
        <v>49</v>
      </c>
      <c r="G25" s="315" t="s">
        <v>66</v>
      </c>
      <c r="H25" s="255">
        <f>0.5*E25+0.5*E26</f>
        <v>49</v>
      </c>
      <c r="I25" s="319">
        <f>F25/'Table 1.3.1'!P25</f>
        <v>2.7332854843131402E-2</v>
      </c>
      <c r="J25" s="319">
        <f>F25/'Table 1.3.1'!E25</f>
        <v>7.8422788569705526E-2</v>
      </c>
      <c r="K25" s="319">
        <f>F25/'Table 1.3.1'!K25</f>
        <v>4.0266385116992619E-2</v>
      </c>
      <c r="L25" s="318">
        <f>F25/'Table 1.3.1'!L25</f>
        <v>4.1955793245713434E-2</v>
      </c>
    </row>
    <row r="26" spans="1:12" ht="12.75" customHeight="1">
      <c r="A26" s="58">
        <v>1948</v>
      </c>
      <c r="B26" s="140">
        <v>1.4</v>
      </c>
      <c r="C26" s="320">
        <v>40</v>
      </c>
      <c r="D26" s="315" t="s">
        <v>66</v>
      </c>
      <c r="E26" s="320">
        <f>C26</f>
        <v>40</v>
      </c>
      <c r="F26" s="253">
        <f t="shared" si="0"/>
        <v>55</v>
      </c>
      <c r="G26" s="315" t="s">
        <v>66</v>
      </c>
      <c r="H26" s="255">
        <f>0.5*E26+0.5*E27</f>
        <v>55</v>
      </c>
      <c r="I26" s="319">
        <f>F26/'Table 1.3.1'!P26</f>
        <v>2.6527961735065445E-2</v>
      </c>
      <c r="J26" s="319">
        <f>F26/'Table 1.3.1'!E26</f>
        <v>7.1413876160726489E-2</v>
      </c>
      <c r="K26" s="319">
        <f>F26/'Table 1.3.1'!K26</f>
        <v>4.049699071810281E-2</v>
      </c>
      <c r="L26" s="318">
        <f>F26/'Table 1.3.1'!L26</f>
        <v>4.2206215432728254E-2</v>
      </c>
    </row>
    <row r="27" spans="1:12" ht="12.75" customHeight="1">
      <c r="A27" s="58">
        <v>1949</v>
      </c>
      <c r="B27" s="140">
        <v>1.8</v>
      </c>
      <c r="C27" s="320">
        <v>70</v>
      </c>
      <c r="D27" s="315" t="s">
        <v>66</v>
      </c>
      <c r="E27" s="320">
        <f>C27</f>
        <v>70</v>
      </c>
      <c r="F27" s="253">
        <f t="shared" si="0"/>
        <v>96</v>
      </c>
      <c r="G27" s="315" t="s">
        <v>66</v>
      </c>
      <c r="H27" s="255">
        <f>0.5*E27+0.5*E28</f>
        <v>96</v>
      </c>
      <c r="I27" s="319">
        <f>F27/'Table 1.3.1'!P27</f>
        <v>3.7358923887522058E-2</v>
      </c>
      <c r="J27" s="319">
        <f>F27/'Table 1.3.1'!E27</f>
        <v>9.9321414294451182E-2</v>
      </c>
      <c r="K27" s="319">
        <f>F27/'Table 1.3.1'!K27</f>
        <v>5.6500226480543786E-2</v>
      </c>
      <c r="L27" s="318">
        <f>F27/'Table 1.3.1'!L27</f>
        <v>5.9883667242214417E-2</v>
      </c>
    </row>
    <row r="28" spans="1:12" ht="18" customHeight="1">
      <c r="A28" s="58">
        <v>1950</v>
      </c>
      <c r="B28" s="140">
        <v>1.8</v>
      </c>
      <c r="C28" s="320">
        <v>122</v>
      </c>
      <c r="D28" s="315" t="s">
        <v>66</v>
      </c>
      <c r="E28" s="320">
        <f>C28</f>
        <v>122</v>
      </c>
      <c r="F28" s="253">
        <f t="shared" si="0"/>
        <v>148</v>
      </c>
      <c r="G28" s="315" t="s">
        <v>66</v>
      </c>
      <c r="H28" s="255">
        <f>0.5*E28+0.5*E29</f>
        <v>148</v>
      </c>
      <c r="I28" s="319">
        <f>F28/'Table 1.3.1'!P28</f>
        <v>4.9149327415136057E-2</v>
      </c>
      <c r="J28" s="319">
        <f>F28/'Table 1.3.1'!E28</f>
        <v>0.12528846989425144</v>
      </c>
      <c r="K28" s="319">
        <f>F28/'Table 1.3.1'!K28</f>
        <v>7.4824659923951861E-2</v>
      </c>
      <c r="L28" s="318">
        <f>F28/'Table 1.3.1'!L28</f>
        <v>8.0876193606502056E-2</v>
      </c>
    </row>
    <row r="29" spans="1:12" ht="12.75" customHeight="1">
      <c r="A29" s="58">
        <v>1951</v>
      </c>
      <c r="B29" s="140">
        <v>2</v>
      </c>
      <c r="C29" s="320">
        <v>174</v>
      </c>
      <c r="D29" s="315" t="s">
        <v>66</v>
      </c>
      <c r="E29" s="320">
        <f>C29</f>
        <v>174</v>
      </c>
      <c r="F29" s="253">
        <f t="shared" si="0"/>
        <v>183</v>
      </c>
      <c r="G29" s="315" t="s">
        <v>66</v>
      </c>
      <c r="H29" s="255">
        <f>0.5*E29+0.5*E30</f>
        <v>183</v>
      </c>
      <c r="I29" s="319">
        <f>F29/'Table 1.3.1'!P29</f>
        <v>5.5066193919076134E-2</v>
      </c>
      <c r="J29" s="319">
        <f>F29/'Table 1.3.1'!E29</f>
        <v>0.13971862426433945</v>
      </c>
      <c r="K29" s="319">
        <f>F29/'Table 1.3.1'!K29</f>
        <v>8.3314447058799562E-2</v>
      </c>
      <c r="L29" s="318">
        <f>F29/'Table 1.3.1'!L29</f>
        <v>9.0886615144619445E-2</v>
      </c>
    </row>
    <row r="30" spans="1:12" ht="12.75" customHeight="1">
      <c r="A30" s="58">
        <v>1952</v>
      </c>
      <c r="B30" s="140">
        <v>2.1</v>
      </c>
      <c r="C30" s="320">
        <v>192</v>
      </c>
      <c r="D30" s="315" t="s">
        <v>66</v>
      </c>
      <c r="E30" s="320">
        <f>C30</f>
        <v>192</v>
      </c>
      <c r="F30" s="253">
        <f t="shared" si="0"/>
        <v>182.5</v>
      </c>
      <c r="G30" s="315" t="s">
        <v>66</v>
      </c>
      <c r="H30" s="255">
        <f>0.5*E30+0.5*E31</f>
        <v>182.5</v>
      </c>
      <c r="I30" s="319">
        <f>F30/'Table 1.3.1'!P30</f>
        <v>5.0664302173171021E-2</v>
      </c>
      <c r="J30" s="319">
        <f>F30/'Table 1.3.1'!E30</f>
        <v>0.12710489367955657</v>
      </c>
      <c r="K30" s="319">
        <f>F30/'Table 1.3.1'!K30</f>
        <v>7.7698595412945728E-2</v>
      </c>
      <c r="L30" s="318">
        <f>F30/'Table 1.3.1'!L30</f>
        <v>8.4244255756862951E-2</v>
      </c>
    </row>
    <row r="31" spans="1:12" ht="12.75" customHeight="1">
      <c r="A31" s="58">
        <v>1953</v>
      </c>
      <c r="B31" s="140">
        <v>2.2000000000000002</v>
      </c>
      <c r="C31" s="320">
        <v>173</v>
      </c>
      <c r="D31" s="315" t="s">
        <v>66</v>
      </c>
      <c r="E31" s="320">
        <f>C31</f>
        <v>173</v>
      </c>
      <c r="F31" s="253">
        <f t="shared" si="0"/>
        <v>158.5</v>
      </c>
      <c r="G31" s="315" t="s">
        <v>66</v>
      </c>
      <c r="H31" s="255">
        <f>0.5*E31+0.5*E32</f>
        <v>158.5</v>
      </c>
      <c r="I31" s="319">
        <f>F31/'Table 1.3.1'!P31</f>
        <v>4.112901379540753E-2</v>
      </c>
      <c r="J31" s="319">
        <f>F31/'Table 1.3.1'!E31</f>
        <v>0.10152192014418013</v>
      </c>
      <c r="K31" s="319">
        <f>F31/'Table 1.3.1'!K31</f>
        <v>6.4667798379511574E-2</v>
      </c>
      <c r="L31" s="318">
        <f>F31/'Table 1.3.1'!L31</f>
        <v>6.9138855978092981E-2</v>
      </c>
    </row>
    <row r="32" spans="1:12" ht="12.75" customHeight="1">
      <c r="A32" s="58">
        <v>1954</v>
      </c>
      <c r="B32" s="140">
        <v>2.2000000000000002</v>
      </c>
      <c r="C32" s="320">
        <v>144</v>
      </c>
      <c r="D32" s="315" t="s">
        <v>66</v>
      </c>
      <c r="E32" s="320">
        <f>C32</f>
        <v>144</v>
      </c>
      <c r="F32" s="253">
        <f t="shared" si="0"/>
        <v>134.5</v>
      </c>
      <c r="G32" s="315" t="s">
        <v>66</v>
      </c>
      <c r="H32" s="255">
        <f>0.5*E32+0.5*E33</f>
        <v>134.5</v>
      </c>
      <c r="I32" s="319">
        <f>F32/'Table 1.3.1'!P32</f>
        <v>3.2465665587915138E-2</v>
      </c>
      <c r="J32" s="319">
        <f>F32/'Table 1.3.1'!E32</f>
        <v>7.889172984529387E-2</v>
      </c>
      <c r="K32" s="319">
        <f>F32/'Table 1.3.1'!K32</f>
        <v>5.2284379747184799E-2</v>
      </c>
      <c r="L32" s="318">
        <f>F32/'Table 1.3.1'!L32</f>
        <v>5.5168848787400256E-2</v>
      </c>
    </row>
    <row r="33" spans="1:12" ht="12.75" customHeight="1">
      <c r="A33" s="58">
        <v>1955</v>
      </c>
      <c r="B33" s="140">
        <v>2.2999999999999998</v>
      </c>
      <c r="C33" s="320">
        <v>125</v>
      </c>
      <c r="D33" s="315" t="s">
        <v>66</v>
      </c>
      <c r="E33" s="320">
        <f>C33</f>
        <v>125</v>
      </c>
      <c r="F33" s="253">
        <f t="shared" si="0"/>
        <v>131.5</v>
      </c>
      <c r="G33" s="315" t="s">
        <v>66</v>
      </c>
      <c r="H33" s="255">
        <f>0.5*E33+0.5*E34</f>
        <v>131.5</v>
      </c>
      <c r="I33" s="319">
        <f>F33/'Table 1.3.1'!P33</f>
        <v>2.9271371857087673E-2</v>
      </c>
      <c r="J33" s="319">
        <f>F33/'Table 1.3.1'!E33</f>
        <v>7.0307509963840387E-2</v>
      </c>
      <c r="K33" s="319">
        <f>F33/'Table 1.3.1'!K33</f>
        <v>4.7755854725406957E-2</v>
      </c>
      <c r="L33" s="318">
        <f>F33/'Table 1.3.1'!L33</f>
        <v>5.015085150419684E-2</v>
      </c>
    </row>
    <row r="34" spans="1:12" ht="12.75" customHeight="1">
      <c r="A34" s="58">
        <v>1956</v>
      </c>
      <c r="B34" s="140">
        <v>2.4</v>
      </c>
      <c r="C34" s="320">
        <v>138</v>
      </c>
      <c r="D34" s="315" t="s">
        <v>66</v>
      </c>
      <c r="E34" s="320">
        <f>C34</f>
        <v>138</v>
      </c>
      <c r="F34" s="253">
        <f t="shared" si="0"/>
        <v>153.5</v>
      </c>
      <c r="G34" s="315" t="s">
        <v>66</v>
      </c>
      <c r="H34" s="255">
        <f>0.5*E34+0.5*E35</f>
        <v>153.5</v>
      </c>
      <c r="I34" s="319">
        <f>F34/'Table 1.3.1'!P34</f>
        <v>3.1596650988966246E-2</v>
      </c>
      <c r="J34" s="319">
        <f>F34/'Table 1.3.1'!E34</f>
        <v>7.5953109738199742E-2</v>
      </c>
      <c r="K34" s="319">
        <f>F34/'Table 1.3.1'!K34</f>
        <v>5.1327045497829925E-2</v>
      </c>
      <c r="L34" s="318">
        <f>F34/'Table 1.3.1'!L34</f>
        <v>5.4104046346261175E-2</v>
      </c>
    </row>
    <row r="35" spans="1:12" ht="12.75" customHeight="1">
      <c r="A35" s="58">
        <v>1957</v>
      </c>
      <c r="B35" s="140">
        <v>2.8</v>
      </c>
      <c r="C35" s="320">
        <v>169</v>
      </c>
      <c r="D35" s="315" t="s">
        <v>66</v>
      </c>
      <c r="E35" s="320">
        <f>C35</f>
        <v>169</v>
      </c>
      <c r="F35" s="253">
        <f t="shared" si="0"/>
        <v>175.5</v>
      </c>
      <c r="G35" s="315" t="s">
        <v>66</v>
      </c>
      <c r="H35" s="255">
        <f>0.5*E35+0.5*E36</f>
        <v>175.5</v>
      </c>
      <c r="I35" s="319">
        <f>F35/'Table 1.3.1'!P35</f>
        <v>3.2895976260711134E-2</v>
      </c>
      <c r="J35" s="319">
        <f>F35/'Table 1.3.1'!E35</f>
        <v>7.9406895446914066E-2</v>
      </c>
      <c r="K35" s="319">
        <f>F35/'Table 1.3.1'!K35</f>
        <v>5.3175961281731798E-2</v>
      </c>
      <c r="L35" s="318">
        <f>F35/'Table 1.3.1'!L35</f>
        <v>5.6162453747706918E-2</v>
      </c>
    </row>
    <row r="36" spans="1:12" ht="12.75" customHeight="1">
      <c r="A36" s="58">
        <v>1958</v>
      </c>
      <c r="B36" s="140">
        <v>3.2</v>
      </c>
      <c r="C36" s="320">
        <v>182</v>
      </c>
      <c r="D36" s="315" t="s">
        <v>66</v>
      </c>
      <c r="E36" s="320">
        <f>C36</f>
        <v>182</v>
      </c>
      <c r="F36" s="253">
        <f t="shared" si="0"/>
        <v>202</v>
      </c>
      <c r="G36" s="315" t="s">
        <v>66</v>
      </c>
      <c r="H36" s="255">
        <f>0.5*E36+0.5*E37</f>
        <v>202</v>
      </c>
      <c r="I36" s="319">
        <f>F36/'Table 1.3.1'!P36</f>
        <v>3.4708512753080858E-2</v>
      </c>
      <c r="J36" s="319">
        <f>F36/'Table 1.3.1'!E36</f>
        <v>8.4166507681622468E-2</v>
      </c>
      <c r="K36" s="319">
        <f>F36/'Table 1.3.1'!K36</f>
        <v>5.577193482353051E-2</v>
      </c>
      <c r="L36" s="318">
        <f>F36/'Table 1.3.1'!L36</f>
        <v>5.9066169372022567E-2</v>
      </c>
    </row>
    <row r="37" spans="1:12" ht="12.75" customHeight="1">
      <c r="A37" s="58">
        <v>1959</v>
      </c>
      <c r="B37" s="140">
        <v>3.6</v>
      </c>
      <c r="C37" s="320">
        <v>222</v>
      </c>
      <c r="D37" s="315" t="s">
        <v>66</v>
      </c>
      <c r="E37" s="320">
        <f>C37</f>
        <v>222</v>
      </c>
      <c r="F37" s="253">
        <f t="shared" si="0"/>
        <v>218</v>
      </c>
      <c r="G37" s="315" t="s">
        <v>66</v>
      </c>
      <c r="H37" s="255">
        <f>0.5*E37+0.5*E38</f>
        <v>218</v>
      </c>
      <c r="I37" s="319">
        <f>F37/'Table 1.3.1'!P37</f>
        <v>3.4817825751439602E-2</v>
      </c>
      <c r="J37" s="319">
        <f>F37/'Table 1.3.1'!E37</f>
        <v>8.3659505388020555E-2</v>
      </c>
      <c r="K37" s="319">
        <f>F37/'Table 1.3.1'!K37</f>
        <v>5.6281885802053941E-2</v>
      </c>
      <c r="L37" s="318">
        <f>F37/'Table 1.3.1'!L37</f>
        <v>5.9638450248342634E-2</v>
      </c>
    </row>
    <row r="38" spans="1:12" ht="18" customHeight="1">
      <c r="A38" s="58">
        <v>1960</v>
      </c>
      <c r="B38" s="140">
        <v>3.8</v>
      </c>
      <c r="C38" s="257">
        <v>214</v>
      </c>
      <c r="D38" s="315" t="s">
        <v>66</v>
      </c>
      <c r="E38" s="320">
        <f>C38</f>
        <v>214</v>
      </c>
      <c r="F38" s="253">
        <f t="shared" si="0"/>
        <v>238</v>
      </c>
      <c r="G38" s="315" t="s">
        <v>66</v>
      </c>
      <c r="H38" s="255">
        <f>0.5*E38+0.5*E39</f>
        <v>238</v>
      </c>
      <c r="I38" s="319">
        <f>F38/'Table 1.3.1'!P38</f>
        <v>3.5676810073452254E-2</v>
      </c>
      <c r="J38" s="319">
        <f>F38/'Table 1.3.1'!E38</f>
        <v>8.4549922643925829E-2</v>
      </c>
      <c r="K38" s="319">
        <f>F38/'Table 1.3.1'!K38</f>
        <v>5.8132505474347805E-2</v>
      </c>
      <c r="L38" s="318">
        <f>F38/'Table 1.3.1'!L38</f>
        <v>6.1720471098352082E-2</v>
      </c>
    </row>
    <row r="39" spans="1:12" ht="12.75" customHeight="1">
      <c r="A39" s="58">
        <v>1961</v>
      </c>
      <c r="B39" s="140">
        <v>4.3</v>
      </c>
      <c r="C39" s="257">
        <v>262</v>
      </c>
      <c r="D39" s="320">
        <v>23</v>
      </c>
      <c r="E39" s="320">
        <f>C39</f>
        <v>262</v>
      </c>
      <c r="F39" s="253">
        <f t="shared" si="0"/>
        <v>313.5</v>
      </c>
      <c r="G39" s="315" t="s">
        <v>66</v>
      </c>
      <c r="H39" s="255">
        <f>0.5*E39+0.5*E40</f>
        <v>313.5</v>
      </c>
      <c r="I39" s="319">
        <f>F39/'Table 1.3.1'!P39</f>
        <v>4.267047774601878E-2</v>
      </c>
      <c r="J39" s="319">
        <f>F39/'Table 1.3.1'!E39</f>
        <v>9.758378198008856E-2</v>
      </c>
      <c r="K39" s="319">
        <f>F39/'Table 1.3.1'!K39</f>
        <v>7.0483080013921243E-2</v>
      </c>
      <c r="L39" s="318">
        <f>F39/'Table 1.3.1'!L39</f>
        <v>7.5827646058316892E-2</v>
      </c>
    </row>
    <row r="40" spans="1:12" ht="12.75" customHeight="1">
      <c r="A40" s="58">
        <v>1962</v>
      </c>
      <c r="B40" s="140">
        <v>4.7</v>
      </c>
      <c r="C40" s="257">
        <v>365</v>
      </c>
      <c r="D40" s="320">
        <v>103</v>
      </c>
      <c r="E40" s="320">
        <f>C40</f>
        <v>365</v>
      </c>
      <c r="F40" s="253">
        <f t="shared" si="0"/>
        <v>407.5</v>
      </c>
      <c r="G40" s="315" t="s">
        <v>66</v>
      </c>
      <c r="H40" s="255">
        <f>0.5*E40+0.5*E41</f>
        <v>407.5</v>
      </c>
      <c r="I40" s="319">
        <f>F40/'Table 1.3.1'!P40</f>
        <v>5.0950237559389849E-2</v>
      </c>
      <c r="J40" s="319">
        <f>F40/'Table 1.3.1'!E40</f>
        <v>0.1123202187419033</v>
      </c>
      <c r="K40" s="319">
        <f>F40/'Table 1.3.1'!K40</f>
        <v>8.5296013798069281E-2</v>
      </c>
      <c r="L40" s="318">
        <f>F40/'Table 1.3.1'!L40</f>
        <v>9.3249854690410486E-2</v>
      </c>
    </row>
    <row r="41" spans="1:12" ht="12.75" customHeight="1">
      <c r="A41" s="58">
        <v>1963</v>
      </c>
      <c r="B41" s="140">
        <v>5.2</v>
      </c>
      <c r="C41" s="257">
        <v>450</v>
      </c>
      <c r="D41" s="320">
        <v>157</v>
      </c>
      <c r="E41" s="320">
        <f>C41</f>
        <v>450</v>
      </c>
      <c r="F41" s="253">
        <f t="shared" si="0"/>
        <v>494.5</v>
      </c>
      <c r="G41" s="315" t="s">
        <v>66</v>
      </c>
      <c r="H41" s="255">
        <f>0.5*E41+0.5*E42</f>
        <v>494.5</v>
      </c>
      <c r="I41" s="319">
        <f>F41/'Table 1.3.1'!P41</f>
        <v>5.5995923451477747E-2</v>
      </c>
      <c r="J41" s="319">
        <f>F41/'Table 1.3.1'!E41</f>
        <v>0.11916673414226941</v>
      </c>
      <c r="K41" s="319">
        <f>F41/'Table 1.3.1'!K41</f>
        <v>9.5539826100128053E-2</v>
      </c>
      <c r="L41" s="318">
        <f>F41/'Table 1.3.1'!L41</f>
        <v>0.10563187728673255</v>
      </c>
    </row>
    <row r="42" spans="1:12" ht="12.75" customHeight="1">
      <c r="A42" s="58">
        <v>1964</v>
      </c>
      <c r="B42" s="140">
        <v>6</v>
      </c>
      <c r="C42" s="257">
        <v>539</v>
      </c>
      <c r="D42" s="320">
        <v>210</v>
      </c>
      <c r="E42" s="320">
        <f>C42</f>
        <v>539</v>
      </c>
      <c r="F42" s="253">
        <f t="shared" si="0"/>
        <v>581.5</v>
      </c>
      <c r="G42" s="315" t="s">
        <v>66</v>
      </c>
      <c r="H42" s="255">
        <f>0.5*E42+0.5*E43</f>
        <v>581.5</v>
      </c>
      <c r="I42" s="319">
        <f>F42/'Table 1.3.1'!P42</f>
        <v>6.1482342990061327E-2</v>
      </c>
      <c r="J42" s="319">
        <f>F42/'Table 1.3.1'!E42</f>
        <v>0.13365662223168173</v>
      </c>
      <c r="K42" s="319">
        <f>F42/'Table 1.3.1'!K42</f>
        <v>0.10221841200576783</v>
      </c>
      <c r="L42" s="318">
        <f>F42/'Table 1.3.1'!L42</f>
        <v>0.11385665887193995</v>
      </c>
    </row>
    <row r="43" spans="1:12" ht="12.75" customHeight="1">
      <c r="A43" s="58">
        <v>1965</v>
      </c>
      <c r="B43" s="140">
        <v>6.6</v>
      </c>
      <c r="C43" s="257">
        <v>624</v>
      </c>
      <c r="D43" s="320">
        <v>272</v>
      </c>
      <c r="E43" s="320">
        <f>C43</f>
        <v>624</v>
      </c>
      <c r="F43" s="253">
        <f t="shared" si="0"/>
        <v>509.5</v>
      </c>
      <c r="G43" s="315" t="s">
        <v>66</v>
      </c>
      <c r="H43" s="255">
        <f>0.5*E43+0.5*E44</f>
        <v>509.5</v>
      </c>
      <c r="I43" s="319">
        <f>F43/'Table 1.3.1'!P43</f>
        <v>4.9494851369729941E-2</v>
      </c>
      <c r="J43" s="319">
        <f>F43/'Table 1.3.1'!E43</f>
        <v>0.11079290316548045</v>
      </c>
      <c r="K43" s="319">
        <f>F43/'Table 1.3.1'!K43</f>
        <v>8.2113450328212059E-2</v>
      </c>
      <c r="L43" s="318">
        <f>F43/'Table 1.3.1'!L43</f>
        <v>8.945925872600885E-2</v>
      </c>
    </row>
    <row r="44" spans="1:12" ht="12.75" customHeight="1">
      <c r="A44" s="58">
        <v>1966</v>
      </c>
      <c r="B44" s="140">
        <v>9.4</v>
      </c>
      <c r="C44" s="257">
        <v>1165</v>
      </c>
      <c r="D44" s="257">
        <v>770</v>
      </c>
      <c r="E44" s="257">
        <f>C44-D44</f>
        <v>395</v>
      </c>
      <c r="F44" s="253">
        <f t="shared" si="0"/>
        <v>1079</v>
      </c>
      <c r="G44" s="257">
        <f>'Table 1.1.8'!K13</f>
        <v>632</v>
      </c>
      <c r="H44" s="255">
        <f>0.5*E44+0.5*E45</f>
        <v>447</v>
      </c>
      <c r="I44" s="319">
        <f>F44/'Table 1.3.1'!P44</f>
        <v>7.8341683002976836E-2</v>
      </c>
      <c r="J44" s="319">
        <f>F44/'Table 1.3.1'!E44</f>
        <v>0.14540542441741139</v>
      </c>
      <c r="K44" s="319">
        <f>F44/'Table 1.3.1'!K44</f>
        <v>0.14519532000093119</v>
      </c>
      <c r="L44" s="318">
        <f>F44/'Table 1.3.1'!L44</f>
        <v>0.16985789081207342</v>
      </c>
    </row>
    <row r="45" spans="1:12" ht="12.75" customHeight="1">
      <c r="A45" s="58">
        <v>1967</v>
      </c>
      <c r="B45" s="140">
        <v>10.9</v>
      </c>
      <c r="C45" s="257">
        <v>1672</v>
      </c>
      <c r="D45" s="257">
        <v>1173</v>
      </c>
      <c r="E45" s="257">
        <f>C45-D45</f>
        <v>499</v>
      </c>
      <c r="F45" s="253">
        <f t="shared" si="0"/>
        <v>2224.5</v>
      </c>
      <c r="G45" s="257">
        <f>'Table 1.1.8'!K14</f>
        <v>1525</v>
      </c>
      <c r="H45" s="255">
        <f>0.5*E45+0.5*E46</f>
        <v>699.5</v>
      </c>
      <c r="I45" s="319">
        <f>F45/'Table 1.3.1'!P45</f>
        <v>0.11628332462101411</v>
      </c>
      <c r="J45" s="319">
        <f>F45/'Table 1.3.1'!E45</f>
        <v>0.18798644503223955</v>
      </c>
      <c r="K45" s="319">
        <f>F45/'Table 1.3.1'!K45</f>
        <v>0.2336365164054951</v>
      </c>
      <c r="L45" s="318">
        <f>F45/'Table 1.3.1'!L45</f>
        <v>0.30486384255896504</v>
      </c>
    </row>
    <row r="46" spans="1:12" ht="12.75" customHeight="1">
      <c r="A46" s="58">
        <v>1968</v>
      </c>
      <c r="B46" s="140">
        <v>11.8</v>
      </c>
      <c r="C46" s="257">
        <v>2706</v>
      </c>
      <c r="D46" s="257">
        <v>1806</v>
      </c>
      <c r="E46" s="257">
        <f>C46-D46</f>
        <v>900</v>
      </c>
      <c r="F46" s="253">
        <f t="shared" si="0"/>
        <v>2744</v>
      </c>
      <c r="G46" s="257">
        <f>'Table 1.1.8'!K15</f>
        <v>1835</v>
      </c>
      <c r="H46" s="255">
        <f>0.5*E46+0.5*E47</f>
        <v>909</v>
      </c>
      <c r="I46" s="319">
        <f>F46/'Table 1.3.1'!P46</f>
        <v>0.12459135488557936</v>
      </c>
      <c r="J46" s="319">
        <f>F46/'Table 1.3.1'!E46</f>
        <v>0.1968755901245367</v>
      </c>
      <c r="K46" s="319">
        <f>F46/'Table 1.3.1'!K46</f>
        <v>0.25336409158631779</v>
      </c>
      <c r="L46" s="318">
        <f>F46/'Table 1.3.1'!L46</f>
        <v>0.33934088721318029</v>
      </c>
    </row>
    <row r="47" spans="1:12" ht="12.75" customHeight="1">
      <c r="A47" s="58">
        <v>1969</v>
      </c>
      <c r="B47" s="140">
        <v>13.7</v>
      </c>
      <c r="C47" s="257">
        <v>3203</v>
      </c>
      <c r="D47" s="257">
        <v>2285</v>
      </c>
      <c r="E47" s="257">
        <f>C47-D47</f>
        <v>918</v>
      </c>
      <c r="F47" s="253">
        <f t="shared" si="0"/>
        <v>3318</v>
      </c>
      <c r="G47" s="257">
        <f>'Table 1.1.8'!K16</f>
        <v>2298</v>
      </c>
      <c r="H47" s="255">
        <f>0.5*E47+0.5*E48</f>
        <v>1020</v>
      </c>
      <c r="I47" s="319">
        <f>F47/'Table 1.3.1'!P47</f>
        <v>0.13393073383385809</v>
      </c>
      <c r="J47" s="319">
        <f>F47/'Table 1.3.1'!E47</f>
        <v>0.21075883853205135</v>
      </c>
      <c r="K47" s="319">
        <f>F47/'Table 1.3.1'!K47</f>
        <v>0.26868816042383736</v>
      </c>
      <c r="L47" s="318">
        <f>F47/'Table 1.3.1'!L47</f>
        <v>0.36740573020061817</v>
      </c>
    </row>
    <row r="48" spans="1:12" ht="18" customHeight="1">
      <c r="A48" s="58">
        <v>1970</v>
      </c>
      <c r="B48" s="140">
        <v>18.3</v>
      </c>
      <c r="C48" s="257">
        <v>3849</v>
      </c>
      <c r="D48" s="257">
        <v>2727</v>
      </c>
      <c r="E48" s="257">
        <f>C48-D48</f>
        <v>1122</v>
      </c>
      <c r="F48" s="253">
        <f t="shared" si="0"/>
        <v>3969</v>
      </c>
      <c r="G48" s="257">
        <f>'Table 1.1.8'!K17</f>
        <v>2842</v>
      </c>
      <c r="H48" s="255">
        <f>0.5*E48+0.5*E49</f>
        <v>1127</v>
      </c>
      <c r="I48" s="319">
        <f>F48/'Table 1.3.1'!P48</f>
        <v>0.14160839160839161</v>
      </c>
      <c r="J48" s="319">
        <f>F48/'Table 1.3.1'!E48</f>
        <v>0.22495893606722581</v>
      </c>
      <c r="K48" s="319">
        <f>F48/'Table 1.3.1'!K48</f>
        <v>0.27651252840715129</v>
      </c>
      <c r="L48" s="318">
        <f>F48/'Table 1.3.1'!L48</f>
        <v>0.38219394151826042</v>
      </c>
    </row>
    <row r="49" spans="1:12" ht="12.75" customHeight="1">
      <c r="A49" s="58">
        <v>1971</v>
      </c>
      <c r="B49" s="140">
        <v>22.1</v>
      </c>
      <c r="C49" s="257">
        <v>4494</v>
      </c>
      <c r="D49" s="257">
        <v>3362</v>
      </c>
      <c r="E49" s="257">
        <f>C49-D49</f>
        <v>1132</v>
      </c>
      <c r="F49" s="253">
        <f t="shared" si="0"/>
        <v>5080.5</v>
      </c>
      <c r="G49" s="257">
        <f>'Table 1.1.8'!K18</f>
        <v>3810</v>
      </c>
      <c r="H49" s="255">
        <f>0.5*E49+0.5*E50</f>
        <v>1270.5</v>
      </c>
      <c r="I49" s="319">
        <f>F49/'Table 1.3.1'!P49</f>
        <v>0.15910372040586246</v>
      </c>
      <c r="J49" s="319">
        <f>F49/'Table 1.3.1'!E49</f>
        <v>0.2481224158493596</v>
      </c>
      <c r="K49" s="319">
        <f>F49/'Table 1.3.1'!K49</f>
        <v>0.3072253748022582</v>
      </c>
      <c r="L49" s="318">
        <f>F49/'Table 1.3.1'!L49</f>
        <v>0.44347088306614219</v>
      </c>
    </row>
    <row r="50" spans="1:12" ht="12.75" customHeight="1">
      <c r="A50" s="58">
        <v>1972</v>
      </c>
      <c r="B50" s="140">
        <v>30.5</v>
      </c>
      <c r="C50" s="257">
        <v>6010</v>
      </c>
      <c r="D50" s="257">
        <v>4601</v>
      </c>
      <c r="E50" s="257">
        <f>C50-D50</f>
        <v>1409</v>
      </c>
      <c r="F50" s="253">
        <f t="shared" si="0"/>
        <v>5956</v>
      </c>
      <c r="G50" s="257">
        <f>'Table 1.1.8'!K19</f>
        <v>4547</v>
      </c>
      <c r="H50" s="255">
        <f>0.5*E50+0.5*E51</f>
        <v>1409</v>
      </c>
      <c r="I50" s="319">
        <f>F50/'Table 1.3.1'!P50</f>
        <v>0.16655946754663162</v>
      </c>
      <c r="J50" s="319">
        <f>F50/'Table 1.3.1'!E50</f>
        <v>0.25884893061840381</v>
      </c>
      <c r="K50" s="319">
        <f>F50/'Table 1.3.1'!K50</f>
        <v>0.31841004541994194</v>
      </c>
      <c r="L50" s="318">
        <f>F50/'Table 1.3.1'!L50</f>
        <v>0.46715777320415641</v>
      </c>
    </row>
    <row r="51" spans="1:12" ht="12.75" customHeight="1">
      <c r="A51" s="58">
        <v>1973</v>
      </c>
      <c r="B51" s="140">
        <v>33.5</v>
      </c>
      <c r="C51" s="257">
        <v>6009</v>
      </c>
      <c r="D51" s="257">
        <v>4600</v>
      </c>
      <c r="E51" s="257">
        <f>C51-D51</f>
        <v>1409</v>
      </c>
      <c r="F51" s="253">
        <f t="shared" si="0"/>
        <v>6389.5</v>
      </c>
      <c r="G51" s="257">
        <f>'Table 1.1.8'!K20</f>
        <v>4933</v>
      </c>
      <c r="H51" s="255">
        <f>0.5*E51+0.5*E52</f>
        <v>1456.5</v>
      </c>
      <c r="I51" s="319">
        <f>F51/'Table 1.3.1'!P51</f>
        <v>0.15831660843925766</v>
      </c>
      <c r="J51" s="319">
        <f>F51/'Table 1.3.1'!E51</f>
        <v>0.24778229129300899</v>
      </c>
      <c r="K51" s="319">
        <f>F51/'Table 1.3.1'!K51</f>
        <v>0.30481710735029277</v>
      </c>
      <c r="L51" s="318">
        <f>F51/'Table 1.3.1'!L51</f>
        <v>0.438470380346206</v>
      </c>
    </row>
    <row r="52" spans="1:12" ht="12.75" customHeight="1">
      <c r="A52" s="58">
        <v>1974</v>
      </c>
      <c r="B52" s="140">
        <v>34.9</v>
      </c>
      <c r="C52" s="257">
        <v>7322</v>
      </c>
      <c r="D52" s="257">
        <v>5818</v>
      </c>
      <c r="E52" s="257">
        <f>C52-D52</f>
        <v>1504</v>
      </c>
      <c r="F52" s="253">
        <f t="shared" si="0"/>
        <v>8014</v>
      </c>
      <c r="G52" s="257">
        <f>'Table 1.1.8'!K21</f>
        <v>6277</v>
      </c>
      <c r="H52" s="255">
        <f>0.5*E52+0.5*E53</f>
        <v>1737</v>
      </c>
      <c r="I52" s="319">
        <f>F52/'Table 1.3.1'!P52</f>
        <v>0.16839318358513164</v>
      </c>
      <c r="J52" s="319">
        <f>F52/'Table 1.3.1'!E52</f>
        <v>0.26022626891641054</v>
      </c>
      <c r="K52" s="319">
        <f>F52/'Table 1.3.1'!K52</f>
        <v>0.32303152713537381</v>
      </c>
      <c r="L52" s="318">
        <f>F52/'Table 1.3.1'!L52</f>
        <v>0.47717366477710493</v>
      </c>
    </row>
    <row r="53" spans="1:12" ht="12.75" customHeight="1">
      <c r="A53" s="58">
        <v>1975</v>
      </c>
      <c r="B53" s="140">
        <v>43.6</v>
      </c>
      <c r="C53" s="257">
        <v>8810</v>
      </c>
      <c r="D53" s="257">
        <v>6840</v>
      </c>
      <c r="E53" s="257">
        <f>C53-D53</f>
        <v>1970</v>
      </c>
      <c r="F53" s="253">
        <f t="shared" si="0"/>
        <v>8452.5</v>
      </c>
      <c r="G53" s="257">
        <f>'Table 1.1.8'!K22</f>
        <v>7409</v>
      </c>
      <c r="H53" s="255">
        <f>0.5*E53+0.5*(E54-2721)</f>
        <v>1043.5</v>
      </c>
      <c r="I53" s="319">
        <f>F53/'Table 1.3.1'!P53</f>
        <v>0.15086745439617322</v>
      </c>
      <c r="J53" s="319">
        <f>F53/'Table 1.3.1'!E53</f>
        <v>0.23047359658757835</v>
      </c>
      <c r="K53" s="319">
        <f>F53/'Table 1.3.1'!K53</f>
        <v>0.30400283527376637</v>
      </c>
      <c r="L53" s="318">
        <f>F53/'Table 1.3.1'!L53</f>
        <v>0.43678746219224052</v>
      </c>
    </row>
    <row r="54" spans="1:12" ht="12.75" customHeight="1">
      <c r="A54" s="58">
        <v>1976</v>
      </c>
      <c r="B54" s="140">
        <v>49.1</v>
      </c>
      <c r="C54" s="257">
        <f>10914+2721</f>
        <v>13635</v>
      </c>
      <c r="D54" s="257">
        <f>8568+2229</f>
        <v>10797</v>
      </c>
      <c r="E54" s="257">
        <f>C54-D54</f>
        <v>2838</v>
      </c>
      <c r="F54" s="253">
        <f t="shared" si="0"/>
        <v>12489.5</v>
      </c>
      <c r="G54" s="257">
        <f>'Table 1.1.8'!K23</f>
        <v>9153</v>
      </c>
      <c r="H54" s="255">
        <f>0.5*(E54-2721)+2721+0.25*E55</f>
        <v>3336.5</v>
      </c>
      <c r="I54" s="319">
        <f>F54/'Table 1.3.1'!P54</f>
        <v>0.19702634484934534</v>
      </c>
      <c r="J54" s="319">
        <f>F54/'Table 1.3.1'!E54</f>
        <v>0.28947033268055045</v>
      </c>
      <c r="K54" s="319">
        <f>F54/'Table 1.3.1'!K54</f>
        <v>0.38155153496629057</v>
      </c>
      <c r="L54" s="318">
        <f>F54/'Table 1.3.1'!L54</f>
        <v>0.61694960298024759</v>
      </c>
    </row>
    <row r="55" spans="1:12" ht="12.75" customHeight="1">
      <c r="A55" s="58">
        <v>1977</v>
      </c>
      <c r="B55" s="140">
        <v>54.8</v>
      </c>
      <c r="C55" s="257">
        <v>12104</v>
      </c>
      <c r="D55" s="257">
        <v>9876</v>
      </c>
      <c r="E55" s="257">
        <f>C55-D55</f>
        <v>2228</v>
      </c>
      <c r="F55" s="253">
        <f t="shared" si="0"/>
        <v>12032.5</v>
      </c>
      <c r="G55" s="257">
        <f>'Table 1.1.8'!K24</f>
        <v>9896</v>
      </c>
      <c r="H55" s="255">
        <f>0.5*E55+0.5*E56</f>
        <v>2136.5</v>
      </c>
      <c r="I55" s="319">
        <f>F55/'Table 1.3.1'!P55</f>
        <v>0.1691835041689515</v>
      </c>
      <c r="J55" s="319">
        <f>F55/'Table 1.3.1'!E55</f>
        <v>0.2523458570000856</v>
      </c>
      <c r="K55" s="319">
        <f>F55/'Table 1.3.1'!K55</f>
        <v>0.33922147958584448</v>
      </c>
      <c r="L55" s="318">
        <f>F55/'Table 1.3.1'!L55</f>
        <v>0.51336638390308287</v>
      </c>
    </row>
    <row r="56" spans="1:12" ht="12.75" customHeight="1">
      <c r="A56" s="58">
        <v>1978</v>
      </c>
      <c r="B56" s="140">
        <v>63.5</v>
      </c>
      <c r="C56" s="257">
        <v>12725</v>
      </c>
      <c r="D56" s="257">
        <v>10680</v>
      </c>
      <c r="E56" s="257">
        <f>C56-D56</f>
        <v>2045</v>
      </c>
      <c r="F56" s="253">
        <f t="shared" si="0"/>
        <v>12926.5</v>
      </c>
      <c r="G56" s="257">
        <f>'Table 1.1.8'!K25</f>
        <v>10919</v>
      </c>
      <c r="H56" s="255">
        <f>0.5*E56+0.5*E57</f>
        <v>2007.5</v>
      </c>
      <c r="I56" s="319">
        <f>F56/'Table 1.3.1'!P56</f>
        <v>0.15968104555786145</v>
      </c>
      <c r="J56" s="319">
        <f>F56/'Table 1.3.1'!E56</f>
        <v>0.23748486978961703</v>
      </c>
      <c r="K56" s="319">
        <f>F56/'Table 1.3.1'!K56</f>
        <v>0.32768733783577142</v>
      </c>
      <c r="L56" s="318">
        <f>F56/'Table 1.3.1'!L56</f>
        <v>0.48740319240890029</v>
      </c>
    </row>
    <row r="57" spans="1:12" ht="12.75" customHeight="1">
      <c r="A57" s="58">
        <v>1979</v>
      </c>
      <c r="B57" s="140">
        <v>64</v>
      </c>
      <c r="C57" s="257">
        <v>14377</v>
      </c>
      <c r="D57" s="257">
        <v>12407</v>
      </c>
      <c r="E57" s="257">
        <f>C57-D57</f>
        <v>1970</v>
      </c>
      <c r="F57" s="253">
        <f t="shared" si="0"/>
        <v>14590.5</v>
      </c>
      <c r="G57" s="257">
        <f>'Table 1.1.8'!K26</f>
        <v>12705</v>
      </c>
      <c r="H57" s="255">
        <f>0.5*E57+0.5*E58</f>
        <v>1885.5</v>
      </c>
      <c r="I57" s="319">
        <f>F57/'Table 1.3.1'!P57</f>
        <v>0.15820547573868257</v>
      </c>
      <c r="J57" s="319">
        <f>F57/'Table 1.3.1'!E57</f>
        <v>0.23665730018146888</v>
      </c>
      <c r="K57" s="319">
        <f>F57/'Table 1.3.1'!K57</f>
        <v>0.32306269770028873</v>
      </c>
      <c r="L57" s="318">
        <f>F57/'Table 1.3.1'!L57</f>
        <v>0.47724168339190437</v>
      </c>
    </row>
    <row r="58" spans="1:12" ht="18" customHeight="1">
      <c r="A58" s="58">
        <v>1980</v>
      </c>
      <c r="B58" s="140">
        <v>69.7</v>
      </c>
      <c r="C58" s="257">
        <v>15758</v>
      </c>
      <c r="D58" s="257">
        <v>13957</v>
      </c>
      <c r="E58" s="257">
        <f>C58-D58</f>
        <v>1801</v>
      </c>
      <c r="F58" s="253">
        <f t="shared" si="0"/>
        <v>16452.5</v>
      </c>
      <c r="G58" s="257">
        <f>'Table 1.1.8'!K27</f>
        <v>14521</v>
      </c>
      <c r="H58" s="255">
        <f>0.5*E58+0.5*E59</f>
        <v>1931.5</v>
      </c>
      <c r="I58" s="319">
        <f>F58/'Table 1.3.1'!P58</f>
        <v>0.15250176115086575</v>
      </c>
      <c r="J58" s="319">
        <f>F58/'Table 1.3.1'!E58</f>
        <v>0.22648208139572595</v>
      </c>
      <c r="K58" s="319">
        <f>F58/'Table 1.3.1'!K58</f>
        <v>0.3182745970888316</v>
      </c>
      <c r="L58" s="318">
        <f>F58/'Table 1.3.1'!L58</f>
        <v>0.46686627156580235</v>
      </c>
    </row>
    <row r="59" spans="1:12" ht="12.75" customHeight="1">
      <c r="A59" s="58">
        <v>1981</v>
      </c>
      <c r="B59" s="140">
        <v>69.400000000000006</v>
      </c>
      <c r="C59" s="257">
        <v>18895</v>
      </c>
      <c r="D59" s="257">
        <v>16833</v>
      </c>
      <c r="E59" s="257">
        <f>C59-D59</f>
        <v>2062</v>
      </c>
      <c r="F59" s="253">
        <f t="shared" si="0"/>
        <v>18657</v>
      </c>
      <c r="G59" s="257">
        <f>'Table 1.1.8'!K28</f>
        <v>16902</v>
      </c>
      <c r="H59" s="255">
        <f>0.5*E59+0.5*E60</f>
        <v>1755</v>
      </c>
      <c r="I59" s="319">
        <f>F59/'Table 1.3.1'!P59</f>
        <v>0.14988190684297628</v>
      </c>
      <c r="J59" s="319">
        <f>F59/'Table 1.3.1'!E59</f>
        <v>0.22196889059063318</v>
      </c>
      <c r="K59" s="319">
        <f>F59/'Table 1.3.1'!K59</f>
        <v>0.31577781651445375</v>
      </c>
      <c r="L59" s="318">
        <f>F59/'Table 1.3.1'!L59</f>
        <v>0.46151356114446163</v>
      </c>
    </row>
    <row r="60" spans="1:12" ht="12.75" customHeight="1">
      <c r="A60" s="58">
        <v>1982</v>
      </c>
      <c r="B60" s="140">
        <v>66.3</v>
      </c>
      <c r="C60" s="257">
        <v>18839</v>
      </c>
      <c r="D60" s="257">
        <v>17391</v>
      </c>
      <c r="E60" s="257">
        <f>C60-D60</f>
        <v>1448</v>
      </c>
      <c r="F60" s="253">
        <f t="shared" si="0"/>
        <v>19186.5</v>
      </c>
      <c r="G60" s="257">
        <f>'Table 1.1.8'!K29</f>
        <v>17843</v>
      </c>
      <c r="H60" s="255">
        <f>0.5*E60+0.5*E61</f>
        <v>1343.5</v>
      </c>
      <c r="I60" s="319">
        <f>F60/'Table 1.3.1'!P60</f>
        <v>0.13911829750208463</v>
      </c>
      <c r="J60" s="319">
        <f>F60/'Table 1.3.1'!E60</f>
        <v>0.20518378083409919</v>
      </c>
      <c r="K60" s="319">
        <f>F60/'Table 1.3.1'!K60</f>
        <v>0.30170940989451189</v>
      </c>
      <c r="L60" s="318">
        <f>F60/'Table 1.3.1'!L60</f>
        <v>0.43206856023784279</v>
      </c>
    </row>
    <row r="61" spans="1:12" ht="12.75" customHeight="1">
      <c r="A61" s="58">
        <v>1983</v>
      </c>
      <c r="B61" s="140">
        <v>67.900000000000006</v>
      </c>
      <c r="C61" s="257">
        <v>20224</v>
      </c>
      <c r="D61" s="257">
        <v>18985</v>
      </c>
      <c r="E61" s="257">
        <f>C61-D61</f>
        <v>1239</v>
      </c>
      <c r="F61" s="253">
        <f t="shared" si="0"/>
        <v>21094.5</v>
      </c>
      <c r="G61" s="257">
        <f>'Table 1.1.8'!K30</f>
        <v>19587</v>
      </c>
      <c r="H61" s="255">
        <f>0.5*E61+0.5*E62</f>
        <v>1507.5</v>
      </c>
      <c r="I61" s="319">
        <f>F61/'Table 1.3.1'!P61</f>
        <v>0.13930934738677339</v>
      </c>
      <c r="J61" s="319">
        <f>F61/'Table 1.3.1'!E61</f>
        <v>0.20324708769021385</v>
      </c>
      <c r="K61" s="319">
        <f>F61/'Table 1.3.1'!K61</f>
        <v>0.30692268558695751</v>
      </c>
      <c r="L61" s="318">
        <f>F61/'Table 1.3.1'!L61</f>
        <v>0.44284047277883576</v>
      </c>
    </row>
    <row r="62" spans="1:12" ht="12.75" customHeight="1">
      <c r="A62" s="58">
        <v>1984</v>
      </c>
      <c r="B62" s="140">
        <v>72.3</v>
      </c>
      <c r="C62" s="257">
        <v>21837</v>
      </c>
      <c r="D62" s="257">
        <v>20061</v>
      </c>
      <c r="E62" s="257">
        <f>C62-D62</f>
        <v>1776</v>
      </c>
      <c r="F62" s="253">
        <f t="shared" si="0"/>
        <v>22882</v>
      </c>
      <c r="G62" s="257">
        <f>'Table 1.1.8'!K31</f>
        <v>21096</v>
      </c>
      <c r="H62" s="255">
        <f>0.5*E62+0.5*E63</f>
        <v>1786</v>
      </c>
      <c r="I62" s="319">
        <f>F62/'Table 1.3.1'!P62</f>
        <v>0.13845306742341273</v>
      </c>
      <c r="J62" s="319">
        <f>F62/'Table 1.3.1'!E62</f>
        <v>0.19989126620966211</v>
      </c>
      <c r="K62" s="319">
        <f>F62/'Table 1.3.1'!K62</f>
        <v>0.31056438038829776</v>
      </c>
      <c r="L62" s="318">
        <f>F62/'Table 1.3.1'!L62</f>
        <v>0.4504617567673847</v>
      </c>
    </row>
    <row r="63" spans="1:12" ht="12.75" customHeight="1">
      <c r="A63" s="58">
        <v>1985</v>
      </c>
      <c r="B63" s="140">
        <v>76.2</v>
      </c>
      <c r="C63" s="257">
        <v>24451</v>
      </c>
      <c r="D63" s="257">
        <v>22655</v>
      </c>
      <c r="E63" s="257">
        <f>C63-D63</f>
        <v>1796</v>
      </c>
      <c r="F63" s="253">
        <f t="shared" si="0"/>
        <v>24406</v>
      </c>
      <c r="G63" s="257">
        <f>'Table 1.1.8'!K32</f>
        <v>22594</v>
      </c>
      <c r="H63" s="255">
        <f>0.5*E63+0.5*E64</f>
        <v>1812</v>
      </c>
      <c r="I63" s="319">
        <f>F63/'Table 1.3.1'!P63</f>
        <v>0.13574424063094431</v>
      </c>
      <c r="J63" s="319">
        <f>F63/'Table 1.3.1'!E63</f>
        <v>0.19725307434466433</v>
      </c>
      <c r="K63" s="319">
        <f>F63/'Table 1.3.1'!K63</f>
        <v>0.30329080464556613</v>
      </c>
      <c r="L63" s="318">
        <f>F63/'Table 1.3.1'!L63</f>
        <v>0.43531907812882287</v>
      </c>
    </row>
    <row r="64" spans="1:12" ht="12.75" customHeight="1">
      <c r="A64" s="58">
        <v>1986</v>
      </c>
      <c r="B64" s="140">
        <v>82.4</v>
      </c>
      <c r="C64" s="257">
        <v>26823</v>
      </c>
      <c r="D64" s="257">
        <v>24995</v>
      </c>
      <c r="E64" s="257">
        <f>C64-D64</f>
        <v>1828</v>
      </c>
      <c r="F64" s="253">
        <f t="shared" si="0"/>
        <v>27116.5</v>
      </c>
      <c r="G64" s="257">
        <f>'Table 1.1.8'!K33</f>
        <v>25187</v>
      </c>
      <c r="H64" s="255">
        <f>0.5*E64+0.5*E65</f>
        <v>1929.5</v>
      </c>
      <c r="I64" s="319">
        <f>F64/'Table 1.3.1'!P64</f>
        <v>0.13796375440096056</v>
      </c>
      <c r="J64" s="319">
        <f>F64/'Table 1.3.1'!E64</f>
        <v>0.20343369122853622</v>
      </c>
      <c r="K64" s="319">
        <f>F64/'Table 1.3.1'!K64</f>
        <v>0.30005935678998974</v>
      </c>
      <c r="L64" s="318">
        <f>F64/'Table 1.3.1'!L64</f>
        <v>0.42869257515020442</v>
      </c>
    </row>
    <row r="65" spans="1:12" ht="12.75" customHeight="1">
      <c r="A65" s="58">
        <v>1987</v>
      </c>
      <c r="B65" s="140">
        <v>78.400000000000006</v>
      </c>
      <c r="C65" s="257">
        <v>29466</v>
      </c>
      <c r="D65" s="257">
        <v>27435</v>
      </c>
      <c r="E65" s="257">
        <f>C65-D65</f>
        <v>2031</v>
      </c>
      <c r="F65" s="253">
        <f t="shared" si="0"/>
        <v>29945.5</v>
      </c>
      <c r="G65" s="257">
        <f>'Table 1.1.8'!K34</f>
        <v>27868</v>
      </c>
      <c r="H65" s="255">
        <f>0.5*E65+0.5*E66</f>
        <v>2077.5</v>
      </c>
      <c r="I65" s="319">
        <f>F65/'Table 1.3.1'!P65</f>
        <v>0.13907440089169609</v>
      </c>
      <c r="J65" s="319">
        <f>F65/'Table 1.3.1'!E65</f>
        <v>0.20661638581543856</v>
      </c>
      <c r="K65" s="319">
        <f>F65/'Table 1.3.1'!K65</f>
        <v>0.29846214180830333</v>
      </c>
      <c r="L65" s="318">
        <f>F65/'Table 1.3.1'!L65</f>
        <v>0.42543982241760636</v>
      </c>
    </row>
    <row r="66" spans="1:12" ht="12.75" customHeight="1">
      <c r="A66" s="58">
        <v>1988</v>
      </c>
      <c r="B66" s="140">
        <v>85.7</v>
      </c>
      <c r="C66" s="257">
        <v>32586</v>
      </c>
      <c r="D66" s="257">
        <v>30462</v>
      </c>
      <c r="E66" s="257">
        <f>C66-D66</f>
        <v>2124</v>
      </c>
      <c r="F66" s="253">
        <f t="shared" si="0"/>
        <v>33094.5</v>
      </c>
      <c r="G66" s="257">
        <f>'Table 1.1.8'!K35</f>
        <v>30995</v>
      </c>
      <c r="H66" s="255">
        <f>0.5*E66+0.5*E67</f>
        <v>2099.5</v>
      </c>
      <c r="I66" s="319">
        <f>F66/'Table 1.3.1'!P66</f>
        <v>0.1419146655231561</v>
      </c>
      <c r="J66" s="319">
        <f>F66/'Table 1.3.1'!E66</f>
        <v>0.21189099386604882</v>
      </c>
      <c r="K66" s="319">
        <f>F66/'Table 1.3.1'!K66</f>
        <v>0.30056382793412217</v>
      </c>
      <c r="L66" s="318">
        <f>F66/'Table 1.3.1'!L66</f>
        <v>0.42972302539968288</v>
      </c>
    </row>
    <row r="67" spans="1:12" ht="12.75" customHeight="1">
      <c r="A67" s="58">
        <v>1989</v>
      </c>
      <c r="B67" s="140">
        <v>91.8</v>
      </c>
      <c r="C67" s="257">
        <v>36679</v>
      </c>
      <c r="D67" s="257">
        <v>34604</v>
      </c>
      <c r="E67" s="257">
        <f>C67-D67</f>
        <v>2075</v>
      </c>
      <c r="F67" s="253">
        <f t="shared" si="0"/>
        <v>37508</v>
      </c>
      <c r="G67" s="257">
        <f>'Table 1.1.8'!K36</f>
        <v>35077</v>
      </c>
      <c r="H67" s="255">
        <f>0.5*E67+0.5*E68</f>
        <v>2431</v>
      </c>
      <c r="I67" s="319">
        <f>F67/'Table 1.3.1'!P67</f>
        <v>0.14428651112692581</v>
      </c>
      <c r="J67" s="319">
        <f>F67/'Table 1.3.1'!E67</f>
        <v>0.21477014875873299</v>
      </c>
      <c r="K67" s="319">
        <f>F67/'Table 1.3.1'!K67</f>
        <v>0.30538880812060004</v>
      </c>
      <c r="L67" s="318">
        <f>F67/'Table 1.3.1'!L67</f>
        <v>0.43965431552335599</v>
      </c>
    </row>
    <row r="68" spans="1:12" ht="18" customHeight="1">
      <c r="A68" s="58">
        <v>1990</v>
      </c>
      <c r="B68" s="140">
        <v>104.4</v>
      </c>
      <c r="C68" s="257">
        <v>43890</v>
      </c>
      <c r="D68" s="257">
        <v>41103</v>
      </c>
      <c r="E68" s="257">
        <f>C68-D68</f>
        <v>2787</v>
      </c>
      <c r="F68" s="253">
        <f t="shared" si="0"/>
        <v>45625.5</v>
      </c>
      <c r="G68" s="257">
        <f>'Table 1.1.8'!K37</f>
        <v>42607</v>
      </c>
      <c r="H68" s="255">
        <f>0.5*E68+0.5*E69</f>
        <v>3018.5</v>
      </c>
      <c r="I68" s="319">
        <f>F68/'Table 1.3.1'!P68</f>
        <v>0.15656699106419777</v>
      </c>
      <c r="J68" s="319">
        <f>F68/'Table 1.3.1'!E68</f>
        <v>0.23360282313021999</v>
      </c>
      <c r="K68" s="319">
        <f>F68/'Table 1.3.1'!K68</f>
        <v>0.32192929388290947</v>
      </c>
      <c r="L68" s="318">
        <f>F68/'Table 1.3.1'!L68</f>
        <v>0.47477245511225213</v>
      </c>
    </row>
    <row r="69" spans="1:12" ht="12.75" customHeight="1">
      <c r="A69" s="58">
        <v>1991</v>
      </c>
      <c r="B69" s="140">
        <v>124</v>
      </c>
      <c r="C69" s="257">
        <v>55783</v>
      </c>
      <c r="D69" s="257">
        <v>52533</v>
      </c>
      <c r="E69" s="257">
        <f>C69-D69</f>
        <v>3250</v>
      </c>
      <c r="F69" s="253">
        <f t="shared" si="0"/>
        <v>60266.5</v>
      </c>
      <c r="G69" s="257">
        <f>'Table 1.1.8'!K38</f>
        <v>56847</v>
      </c>
      <c r="H69" s="255">
        <f>0.5*E69+0.5*E70</f>
        <v>3419.5</v>
      </c>
      <c r="I69" s="319">
        <f>F69/'Table 1.3.1'!P69</f>
        <v>0.18237154269805725</v>
      </c>
      <c r="J69" s="319">
        <f>F69/'Table 1.3.1'!E69</f>
        <v>0.26807508128858126</v>
      </c>
      <c r="K69" s="319">
        <f>F69/'Table 1.3.1'!K69</f>
        <v>0.36323833383031623</v>
      </c>
      <c r="L69" s="318">
        <f>F69/'Table 1.3.1'!L69</f>
        <v>0.57044629588854801</v>
      </c>
    </row>
    <row r="70" spans="1:12" ht="12.75" customHeight="1">
      <c r="A70" s="58">
        <v>1992</v>
      </c>
      <c r="B70" s="140">
        <v>141.69999999999999</v>
      </c>
      <c r="C70" s="257">
        <v>71416</v>
      </c>
      <c r="D70" s="257">
        <v>67827</v>
      </c>
      <c r="E70" s="257">
        <f>C70-D70</f>
        <v>3589</v>
      </c>
      <c r="F70" s="253">
        <f t="shared" si="0"/>
        <v>72342</v>
      </c>
      <c r="G70" s="257">
        <f>'Table 1.1.8'!K39</f>
        <v>68602</v>
      </c>
      <c r="H70" s="255">
        <f>0.5*E70+0.5*E71</f>
        <v>3740</v>
      </c>
      <c r="I70" s="319">
        <f>F70/'Table 1.3.1'!P70</f>
        <v>0.19635048977697436</v>
      </c>
      <c r="J70" s="319">
        <f>F70/'Table 1.3.1'!E70</f>
        <v>0.28404934641793206</v>
      </c>
      <c r="K70" s="319">
        <f>F70/'Table 1.3.1'!K70</f>
        <v>0.38873923325804877</v>
      </c>
      <c r="L70" s="318">
        <f>F70/'Table 1.3.1'!L70</f>
        <v>0.63596300369488334</v>
      </c>
    </row>
    <row r="71" spans="1:12" ht="12.75" customHeight="1">
      <c r="A71" s="58">
        <v>1993</v>
      </c>
      <c r="B71" s="140">
        <v>155.69999999999999</v>
      </c>
      <c r="C71" s="257">
        <v>79665</v>
      </c>
      <c r="D71" s="257">
        <v>75774</v>
      </c>
      <c r="E71" s="257">
        <f>C71-D71</f>
        <v>3891</v>
      </c>
      <c r="F71" s="253">
        <f t="shared" si="0"/>
        <v>81022</v>
      </c>
      <c r="G71" s="257">
        <f>'Table 1.1.8'!K40</f>
        <v>76961</v>
      </c>
      <c r="H71" s="255">
        <f>0.5*E71+0.5*E72</f>
        <v>4061</v>
      </c>
      <c r="I71" s="319">
        <f>F71/'Table 1.3.1'!P71</f>
        <v>0.19940686413250802</v>
      </c>
      <c r="J71" s="319">
        <f>F71/'Table 1.3.1'!E71</f>
        <v>0.28755074629004634</v>
      </c>
      <c r="K71" s="319">
        <f>F71/'Table 1.3.1'!K71</f>
        <v>0.39413131074535085</v>
      </c>
      <c r="L71" s="318">
        <f>F71/'Table 1.3.1'!L71</f>
        <v>0.65052265901084683</v>
      </c>
    </row>
    <row r="72" spans="1:12" ht="12.75" customHeight="1">
      <c r="A72" s="58">
        <v>1994</v>
      </c>
      <c r="B72" s="140">
        <v>166.8</v>
      </c>
      <c r="C72" s="257">
        <v>86265</v>
      </c>
      <c r="D72" s="257">
        <v>82034</v>
      </c>
      <c r="E72" s="257">
        <f>C72-D72</f>
        <v>4231</v>
      </c>
      <c r="F72" s="253">
        <f t="shared" ref="F72:F99" si="1">SUM(G72:H72)</f>
        <v>85426</v>
      </c>
      <c r="G72" s="257">
        <f>'Table 1.1.8'!K41</f>
        <v>81052</v>
      </c>
      <c r="H72" s="255">
        <f>0.5*E72+0.5*E73</f>
        <v>4374</v>
      </c>
      <c r="I72" s="319">
        <f>F72/'Table 1.3.1'!P72</f>
        <v>0.19309412620986152</v>
      </c>
      <c r="J72" s="319">
        <f>F72/'Table 1.3.1'!E72</f>
        <v>0.2788675574543768</v>
      </c>
      <c r="K72" s="319">
        <f>F72/'Table 1.3.1'!K72</f>
        <v>0.3856700754355516</v>
      </c>
      <c r="L72" s="318">
        <f>F72/'Table 1.3.1'!L72</f>
        <v>0.62778982435046848</v>
      </c>
    </row>
    <row r="73" spans="1:12" ht="12.75" customHeight="1">
      <c r="A73" s="58">
        <v>1995</v>
      </c>
      <c r="B73" s="140">
        <v>174.5</v>
      </c>
      <c r="C73" s="257">
        <v>93587</v>
      </c>
      <c r="D73" s="257">
        <v>89070</v>
      </c>
      <c r="E73" s="257">
        <f>C73-D73</f>
        <v>4517</v>
      </c>
      <c r="F73" s="253">
        <f t="shared" si="1"/>
        <v>91034.5</v>
      </c>
      <c r="G73" s="257">
        <f>'Table 1.1.8'!K42</f>
        <v>85946</v>
      </c>
      <c r="H73" s="255">
        <f>0.5*E73+0.5*E74</f>
        <v>5088.5</v>
      </c>
      <c r="I73" s="319">
        <f>F73/'Table 1.3.1'!P73</f>
        <v>0.19295350734959038</v>
      </c>
      <c r="J73" s="319">
        <f>F73/'Table 1.3.1'!E73</f>
        <v>0.27631206107389972</v>
      </c>
      <c r="K73" s="319">
        <f>F73/'Table 1.3.1'!K73</f>
        <v>0.39009179983667264</v>
      </c>
      <c r="L73" s="318">
        <f>F73/'Table 1.3.1'!L73</f>
        <v>0.63959100686334414</v>
      </c>
    </row>
    <row r="74" spans="1:12" ht="12.75" customHeight="1">
      <c r="A74" s="58">
        <v>1996</v>
      </c>
      <c r="B74" s="140">
        <v>181.5</v>
      </c>
      <c r="C74" s="257">
        <v>97650</v>
      </c>
      <c r="D74" s="257">
        <v>91990</v>
      </c>
      <c r="E74" s="257">
        <f>C74-D74</f>
        <v>5660</v>
      </c>
      <c r="F74" s="253">
        <f t="shared" si="1"/>
        <v>95640</v>
      </c>
      <c r="G74" s="257">
        <f>'Table 1.1.8'!K43</f>
        <v>91099</v>
      </c>
      <c r="H74" s="255">
        <f>0.5*E74+0.5*E75</f>
        <v>4541</v>
      </c>
      <c r="I74" s="319">
        <f>F74/'Table 1.3.1'!P74</f>
        <v>0.19301092194802993</v>
      </c>
      <c r="J74" s="319">
        <f>F74/'Table 1.3.1'!E74</f>
        <v>0.2738434416657492</v>
      </c>
      <c r="K74" s="319">
        <f>F74/'Table 1.3.1'!K74</f>
        <v>0.3953612435607563</v>
      </c>
      <c r="L74" s="318">
        <f>F74/'Table 1.3.1'!L74</f>
        <v>0.6538800884830207</v>
      </c>
    </row>
    <row r="75" spans="1:12" ht="12.75" customHeight="1">
      <c r="A75" s="58">
        <v>1997</v>
      </c>
      <c r="B75" s="140">
        <v>188.1</v>
      </c>
      <c r="C75" s="257">
        <v>98974</v>
      </c>
      <c r="D75" s="257">
        <v>95552</v>
      </c>
      <c r="E75" s="257">
        <f>C75-D75</f>
        <v>3422</v>
      </c>
      <c r="F75" s="253">
        <f t="shared" si="1"/>
        <v>98964.5</v>
      </c>
      <c r="G75" s="257">
        <f>'Table 1.1.8'!K44</f>
        <v>94954</v>
      </c>
      <c r="H75" s="255">
        <f>0.5*E75+0.5*E76</f>
        <v>4010.5</v>
      </c>
      <c r="I75" s="319">
        <f>F75/'Table 1.3.1'!P75</f>
        <v>0.19012950734950845</v>
      </c>
      <c r="J75" s="319">
        <f>F75/'Table 1.3.1'!E75</f>
        <v>0.27057723398431138</v>
      </c>
      <c r="K75" s="319">
        <f>F75/'Table 1.3.1'!K75</f>
        <v>0.39005052217334024</v>
      </c>
      <c r="L75" s="318">
        <f>F75/'Table 1.3.1'!L75</f>
        <v>0.63948004933645974</v>
      </c>
    </row>
    <row r="76" spans="1:12" ht="12.75" customHeight="1">
      <c r="A76" s="58">
        <v>1998</v>
      </c>
      <c r="B76" s="140">
        <v>200.8</v>
      </c>
      <c r="C76" s="257">
        <v>105833</v>
      </c>
      <c r="D76" s="257">
        <v>101234</v>
      </c>
      <c r="E76" s="257">
        <f>C76-D76</f>
        <v>4599</v>
      </c>
      <c r="F76" s="253">
        <f t="shared" si="1"/>
        <v>103924</v>
      </c>
      <c r="G76" s="257">
        <f>'Table 1.1.8'!K45</f>
        <v>98661</v>
      </c>
      <c r="H76" s="255">
        <f>0.5*E76+0.5*E77</f>
        <v>5263</v>
      </c>
      <c r="I76" s="319">
        <f>F76/'Table 1.3.1'!P76</f>
        <v>0.1938978269427751</v>
      </c>
      <c r="J76" s="319">
        <f>F76/'Table 1.3.1'!E76</f>
        <v>0.27871775244132818</v>
      </c>
      <c r="K76" s="319">
        <f>F76/'Table 1.3.1'!K76</f>
        <v>0.38918132537804229</v>
      </c>
      <c r="L76" s="318">
        <f>F76/'Table 1.3.1'!L76</f>
        <v>0.63714706433772794</v>
      </c>
    </row>
    <row r="77" spans="1:12" ht="12.75" customHeight="1">
      <c r="A77" s="58">
        <v>1999</v>
      </c>
      <c r="B77" s="140">
        <v>219.2</v>
      </c>
      <c r="C77" s="257">
        <v>113969</v>
      </c>
      <c r="D77" s="257">
        <v>108042</v>
      </c>
      <c r="E77" s="257">
        <f>C77-D77</f>
        <v>5927</v>
      </c>
      <c r="F77" s="253">
        <f t="shared" si="1"/>
        <v>113624.5</v>
      </c>
      <c r="G77" s="257">
        <f>'Table 1.1.8'!K46</f>
        <v>107200</v>
      </c>
      <c r="H77" s="255">
        <f>0.5*E77+0.5*E78</f>
        <v>6424.5</v>
      </c>
      <c r="I77" s="319">
        <f>F77/'Table 1.3.1'!P77</f>
        <v>0.20125919286959232</v>
      </c>
      <c r="J77" s="319">
        <f>F77/'Table 1.3.1'!E77</f>
        <v>0.2906430641854082</v>
      </c>
      <c r="K77" s="319">
        <f>F77/'Table 1.3.1'!K77</f>
        <v>0.39555854571088406</v>
      </c>
      <c r="L77" s="318">
        <f>F77/'Table 1.3.1'!L77</f>
        <v>0.65441994903559475</v>
      </c>
    </row>
    <row r="78" spans="1:12" ht="18" customHeight="1">
      <c r="A78" s="58">
        <v>2000</v>
      </c>
      <c r="B78" s="140">
        <v>233.1</v>
      </c>
      <c r="C78" s="257">
        <v>124843</v>
      </c>
      <c r="D78" s="257">
        <v>117921</v>
      </c>
      <c r="E78" s="257">
        <f>C78-D78</f>
        <v>6922</v>
      </c>
      <c r="F78" s="253">
        <f t="shared" si="1"/>
        <v>125310.5</v>
      </c>
      <c r="G78" s="257">
        <f>'Table 1.1.8'!K47</f>
        <v>116919</v>
      </c>
      <c r="H78" s="255">
        <f>0.5*E78+0.5*E79</f>
        <v>8391.5</v>
      </c>
      <c r="I78" s="319">
        <f>F78/'Table 1.3.1'!P78</f>
        <v>0.20715937701996531</v>
      </c>
      <c r="J78" s="319">
        <f>F78/'Table 1.3.1'!E78</f>
        <v>0.29929378603805479</v>
      </c>
      <c r="K78" s="319">
        <f>F78/'Table 1.3.1'!K78</f>
        <v>0.40225220015121621</v>
      </c>
      <c r="L78" s="318">
        <f>F78/'Table 1.3.1'!L78</f>
        <v>0.67294635003755188</v>
      </c>
    </row>
    <row r="79" spans="1:12" ht="12.75" customHeight="1">
      <c r="A79" s="58">
        <v>2001</v>
      </c>
      <c r="B79" s="140">
        <v>261.3</v>
      </c>
      <c r="C79" s="257">
        <v>139295</v>
      </c>
      <c r="D79" s="257">
        <v>129434</v>
      </c>
      <c r="E79" s="257">
        <f>C79-D79</f>
        <v>9861</v>
      </c>
      <c r="F79" s="253">
        <f t="shared" si="1"/>
        <v>142732</v>
      </c>
      <c r="G79" s="257">
        <f>'Table 1.1.8'!K48</f>
        <v>132288</v>
      </c>
      <c r="H79" s="255">
        <f>0.5*E79+0.5*E80</f>
        <v>10444</v>
      </c>
      <c r="I79" s="319">
        <f>F79/'Table 1.3.1'!P79</f>
        <v>0.21274325097777355</v>
      </c>
      <c r="J79" s="319">
        <f>F79/'Table 1.3.1'!E79</f>
        <v>0.30597843427843396</v>
      </c>
      <c r="K79" s="319">
        <f>F79/'Table 1.3.1'!K79</f>
        <v>0.41113392564055973</v>
      </c>
      <c r="L79" s="318">
        <f>F79/'Table 1.3.1'!L79</f>
        <v>0.69817899780996062</v>
      </c>
    </row>
    <row r="80" spans="1:12" ht="12.75" customHeight="1">
      <c r="A80" s="58">
        <v>2002</v>
      </c>
      <c r="B80" s="140">
        <v>287.2</v>
      </c>
      <c r="C80" s="257">
        <v>158677</v>
      </c>
      <c r="D80" s="257">
        <v>147650</v>
      </c>
      <c r="E80" s="257">
        <f>C80-D80</f>
        <v>11027</v>
      </c>
      <c r="F80" s="253">
        <f t="shared" si="1"/>
        <v>157357</v>
      </c>
      <c r="G80" s="257">
        <f>'Table 1.1.8'!K49</f>
        <v>145339</v>
      </c>
      <c r="H80" s="255">
        <f>0.5*E80+0.5*E81</f>
        <v>12018</v>
      </c>
      <c r="I80" s="319">
        <f>F80/'Table 1.3.1'!P80</f>
        <v>0.21413456605488732</v>
      </c>
      <c r="J80" s="319">
        <f>F80/'Table 1.3.1'!E80</f>
        <v>0.30875064190199675</v>
      </c>
      <c r="K80" s="319">
        <f>F80/'Table 1.3.1'!K80</f>
        <v>0.41133626293148651</v>
      </c>
      <c r="L80" s="318">
        <f>F80/'Table 1.3.1'!L80</f>
        <v>0.69876270106240956</v>
      </c>
    </row>
    <row r="81" spans="1:12" ht="12.75" customHeight="1">
      <c r="A81" s="58">
        <v>2003</v>
      </c>
      <c r="B81" s="140">
        <v>321.7</v>
      </c>
      <c r="C81" s="257">
        <v>173814</v>
      </c>
      <c r="D81" s="257">
        <v>160805</v>
      </c>
      <c r="E81" s="257">
        <f>C81-D81</f>
        <v>13009</v>
      </c>
      <c r="F81" s="253">
        <f t="shared" si="1"/>
        <v>174225.5</v>
      </c>
      <c r="G81" s="257">
        <f>'Table 1.1.8'!K50</f>
        <v>160895</v>
      </c>
      <c r="H81" s="255">
        <f>0.5*E81+0.5*E82</f>
        <v>13330.5</v>
      </c>
      <c r="I81" s="319">
        <f>F81/'Table 1.3.1'!P81</f>
        <v>0.21948784426958534</v>
      </c>
      <c r="J81" s="319">
        <f>F81/'Table 1.3.1'!E81</f>
        <v>0.31399987564397047</v>
      </c>
      <c r="K81" s="319">
        <f>F81/'Table 1.3.1'!K81</f>
        <v>0.42170137166010324</v>
      </c>
      <c r="L81" s="318">
        <f>F81/'Table 1.3.1'!L81</f>
        <v>0.729210395796144</v>
      </c>
    </row>
    <row r="82" spans="1:12" ht="12.75" customHeight="1">
      <c r="A82" s="58">
        <v>2004</v>
      </c>
      <c r="B82" s="140">
        <v>332.2</v>
      </c>
      <c r="C82" s="257">
        <v>189883</v>
      </c>
      <c r="D82" s="257">
        <v>176231</v>
      </c>
      <c r="E82" s="257">
        <f>C82-D82</f>
        <v>13652</v>
      </c>
      <c r="F82" s="253">
        <f t="shared" si="1"/>
        <v>187327</v>
      </c>
      <c r="G82" s="257">
        <f>'Table 1.1.8'!K51</f>
        <v>172437</v>
      </c>
      <c r="H82" s="255">
        <f>0.5*E82+0.5*E83</f>
        <v>14890</v>
      </c>
      <c r="I82" s="319">
        <f>F82/'Table 1.3.1'!P82</f>
        <v>0.21867543577028498</v>
      </c>
      <c r="J82" s="319">
        <f>F82/'Table 1.3.1'!E82</f>
        <v>0.31089917677465595</v>
      </c>
      <c r="K82" s="319">
        <f>F82/'Table 1.3.1'!K82</f>
        <v>0.42435626594974674</v>
      </c>
      <c r="L82" s="318">
        <f>F82/'Table 1.3.1'!L82</f>
        <v>0.73718559040668852</v>
      </c>
    </row>
    <row r="83" spans="1:12" ht="12.75" customHeight="1">
      <c r="A83" s="58">
        <v>2005</v>
      </c>
      <c r="B83" s="140">
        <v>343.4</v>
      </c>
      <c r="C83" s="257">
        <v>197848</v>
      </c>
      <c r="D83" s="257">
        <v>181720</v>
      </c>
      <c r="E83" s="257">
        <f>C83-D83</f>
        <v>16128</v>
      </c>
      <c r="F83" s="253">
        <f t="shared" si="1"/>
        <v>194069</v>
      </c>
      <c r="G83" s="257">
        <f>'Table 1.1.8'!K52</f>
        <v>177644</v>
      </c>
      <c r="H83" s="255">
        <f>0.5*E83+0.5*E84</f>
        <v>16425</v>
      </c>
      <c r="I83" s="319">
        <f>F83/'Table 1.3.1'!P83</f>
        <v>0.21157376720333512</v>
      </c>
      <c r="J83" s="319">
        <f>F83/'Table 1.3.1'!E83</f>
        <v>0.30199181911508388</v>
      </c>
      <c r="K83" s="319">
        <f>F83/'Table 1.3.1'!K83</f>
        <v>0.41405537466903697</v>
      </c>
      <c r="L83" s="318">
        <f>F83/'Table 1.3.1'!L83</f>
        <v>0.70664591288837808</v>
      </c>
    </row>
    <row r="84" spans="1:12" ht="12.75" customHeight="1">
      <c r="A84" s="58">
        <v>2006</v>
      </c>
      <c r="B84" s="140">
        <v>340.8</v>
      </c>
      <c r="C84" s="257">
        <v>197347</v>
      </c>
      <c r="D84" s="257">
        <v>180625</v>
      </c>
      <c r="E84" s="257">
        <f>C84-D84</f>
        <v>16722</v>
      </c>
      <c r="F84" s="253">
        <f t="shared" si="1"/>
        <v>191278.5</v>
      </c>
      <c r="G84" s="257">
        <f>'Table 1.1.8'!K53</f>
        <v>174074</v>
      </c>
      <c r="H84" s="255">
        <f>0.5*E84+0.5*E85</f>
        <v>17204.5</v>
      </c>
      <c r="I84" s="319">
        <f>F84/'Table 1.3.1'!P84</f>
        <v>0.19269965999244429</v>
      </c>
      <c r="J84" s="319">
        <f>F84/'Table 1.3.1'!E84</f>
        <v>0.26970460092754411</v>
      </c>
      <c r="K84" s="319">
        <f>F84/'Table 1.3.1'!K84</f>
        <v>0.40295568034190327</v>
      </c>
      <c r="L84" s="318">
        <f>F84/'Table 1.3.1'!L84</f>
        <v>0.67491753471946558</v>
      </c>
    </row>
    <row r="85" spans="1:12" ht="12.75" customHeight="1">
      <c r="A85" s="58">
        <v>2007</v>
      </c>
      <c r="B85" s="140">
        <v>359</v>
      </c>
      <c r="C85" s="257">
        <v>208311</v>
      </c>
      <c r="D85" s="257">
        <v>190624</v>
      </c>
      <c r="E85" s="257">
        <f>C85-D85</f>
        <v>17687</v>
      </c>
      <c r="F85" s="253">
        <f t="shared" si="1"/>
        <v>202894</v>
      </c>
      <c r="G85" s="257">
        <f>'Table 1.1.8'!K54</f>
        <v>185751</v>
      </c>
      <c r="H85" s="255">
        <f>0.5*E85+0.5*E86</f>
        <v>17143</v>
      </c>
      <c r="I85" s="319">
        <f>F85/'Table 1.3.1'!P85</f>
        <v>0.1919350825893934</v>
      </c>
      <c r="J85" s="319">
        <f>F85/'Table 1.3.1'!E85</f>
        <v>0.26806300663127425</v>
      </c>
      <c r="K85" s="319">
        <f>F85/'Table 1.3.1'!K85</f>
        <v>0.40328618992363729</v>
      </c>
      <c r="L85" s="318">
        <f>F85/'Table 1.3.1'!L85</f>
        <v>0.67584524291808823</v>
      </c>
    </row>
    <row r="86" spans="1:12" ht="12.75" customHeight="1">
      <c r="A86" s="58">
        <v>2008</v>
      </c>
      <c r="B86" s="140">
        <v>371</v>
      </c>
      <c r="C86" s="257">
        <v>218025</v>
      </c>
      <c r="D86" s="257">
        <v>201426</v>
      </c>
      <c r="E86" s="257">
        <f>C86-D86</f>
        <v>16599</v>
      </c>
      <c r="F86" s="253">
        <f t="shared" si="1"/>
        <v>220523.5</v>
      </c>
      <c r="G86" s="257">
        <f>'Table 1.1.8'!K55</f>
        <v>203526</v>
      </c>
      <c r="H86" s="255">
        <f>0.5*E86+0.5*E87</f>
        <v>16997.5</v>
      </c>
      <c r="I86" s="319">
        <f>F86/'Table 1.3.1'!P86</f>
        <v>0.19575309864993579</v>
      </c>
      <c r="J86" s="319">
        <f>F86/'Table 1.3.1'!E86</f>
        <v>0.26930271494568803</v>
      </c>
      <c r="K86" s="319">
        <f>F86/'Table 1.3.1'!K86</f>
        <v>0.41750471253899313</v>
      </c>
      <c r="L86" s="318">
        <f>F86/'Table 1.3.1'!L86</f>
        <v>0.71675208628523279</v>
      </c>
    </row>
    <row r="87" spans="1:12" ht="12.75" customHeight="1">
      <c r="A87" s="58">
        <v>2009</v>
      </c>
      <c r="B87" s="140">
        <v>458.1</v>
      </c>
      <c r="C87" s="257">
        <v>268320</v>
      </c>
      <c r="D87" s="257">
        <v>250924</v>
      </c>
      <c r="E87" s="257">
        <f>C87-D87</f>
        <v>17396</v>
      </c>
      <c r="F87" s="253">
        <f t="shared" si="1"/>
        <v>265505.5</v>
      </c>
      <c r="G87" s="257">
        <f>'Table 1.1.8'!K56</f>
        <v>248109</v>
      </c>
      <c r="H87" s="255">
        <f>0.5*E87+0.5*E88</f>
        <v>17396.5</v>
      </c>
      <c r="I87" s="319">
        <f>F87/'Table 1.3.1'!P87</f>
        <v>0.22113277602920392</v>
      </c>
      <c r="J87" s="319">
        <f>F87/'Table 1.3.1'!E87</f>
        <v>0.29221046637093312</v>
      </c>
      <c r="K87" s="319">
        <f>F87/'Table 1.3.1'!K87</f>
        <v>0.47619522224380428</v>
      </c>
      <c r="L87" s="318">
        <f>F87/'Table 1.3.1'!L87</f>
        <v>0.9091082068469577</v>
      </c>
    </row>
    <row r="88" spans="1:12" ht="18" customHeight="1">
      <c r="A88" s="58">
        <v>2010</v>
      </c>
      <c r="B88" s="140">
        <v>505.3</v>
      </c>
      <c r="C88" s="257">
        <v>290168</v>
      </c>
      <c r="D88" s="257">
        <v>272771</v>
      </c>
      <c r="E88" s="257">
        <f>C88-D88</f>
        <v>17397</v>
      </c>
      <c r="F88" s="253">
        <f t="shared" si="1"/>
        <v>284796</v>
      </c>
      <c r="G88" s="257">
        <f>'Table 1.1.8'!K57</f>
        <v>267156</v>
      </c>
      <c r="H88" s="255">
        <f>0.5*E88+0.5*E89</f>
        <v>17640</v>
      </c>
      <c r="I88" s="319">
        <f>F88/'Table 1.3.1'!P88</f>
        <v>0.22632710766105768</v>
      </c>
      <c r="J88" s="319">
        <f>F88/'Table 1.3.1'!E88</f>
        <v>0.29614355284517174</v>
      </c>
      <c r="K88" s="319">
        <f>F88/'Table 1.3.1'!K88</f>
        <v>0.48980160940062467</v>
      </c>
      <c r="L88" s="318">
        <f>F88/'Table 1.3.1'!L88</f>
        <v>0.96002186291730796</v>
      </c>
    </row>
    <row r="89" spans="1:12" ht="12.75" customHeight="1">
      <c r="A89" s="58">
        <v>2011</v>
      </c>
      <c r="B89" s="140">
        <v>472.5</v>
      </c>
      <c r="C89" s="257">
        <v>292847</v>
      </c>
      <c r="D89" s="257">
        <v>274964</v>
      </c>
      <c r="E89" s="257">
        <f>C89-D89</f>
        <v>17883</v>
      </c>
      <c r="F89" s="253">
        <f t="shared" si="1"/>
        <v>265989</v>
      </c>
      <c r="G89" s="257">
        <f>'Table 1.1.8'!K58</f>
        <v>248176</v>
      </c>
      <c r="H89" s="255">
        <f>0.5*E89+0.5*E90</f>
        <v>17813</v>
      </c>
      <c r="I89" s="319">
        <f>F89/'Table 1.3.1'!P89</f>
        <v>0.20266276359630042</v>
      </c>
      <c r="J89" s="319">
        <f>F89/'Table 1.3.1'!E89</f>
        <v>0.27103927303990116</v>
      </c>
      <c r="K89" s="319">
        <f>F89/'Table 1.3.1'!K89</f>
        <v>0.44547332300165854</v>
      </c>
      <c r="L89" s="318">
        <f>F89/'Table 1.3.1'!L89</f>
        <v>0.80333975168338168</v>
      </c>
    </row>
    <row r="90" spans="1:12" ht="12.75" customHeight="1">
      <c r="A90" s="58">
        <v>2012</v>
      </c>
      <c r="B90" s="140">
        <v>443.2</v>
      </c>
      <c r="C90" s="257">
        <v>268277</v>
      </c>
      <c r="D90" s="257">
        <v>250534</v>
      </c>
      <c r="E90" s="257">
        <f>C90-D90</f>
        <v>17743</v>
      </c>
      <c r="F90" s="253">
        <f t="shared" si="1"/>
        <v>269913.99652908178</v>
      </c>
      <c r="G90" s="257">
        <f>'Table 1.1.8'!K59</f>
        <v>251102.99652908178</v>
      </c>
      <c r="H90" s="255">
        <f>0.5*E90+0.5*E91</f>
        <v>18811</v>
      </c>
      <c r="I90" s="319">
        <f>F90/'Table 1.3.1'!P90</f>
        <v>0.19487651816677845</v>
      </c>
      <c r="J90" s="319">
        <f>F90/'Table 1.3.1'!E90</f>
        <v>0.26301189192689189</v>
      </c>
      <c r="K90" s="319">
        <f>F90/'Table 1.3.1'!K90</f>
        <v>0.42930521167536284</v>
      </c>
      <c r="L90" s="318">
        <f>F90/'Table 1.3.1'!L90</f>
        <v>0.75225010015538207</v>
      </c>
    </row>
    <row r="91" spans="1:12" ht="12.75" customHeight="1">
      <c r="A91" s="58">
        <v>2013</v>
      </c>
      <c r="B91" s="138">
        <f>'Table 1.3.1'!F91*'Table 1.3.1.1'!D$131</f>
        <v>503.38064770666949</v>
      </c>
      <c r="C91" s="257">
        <v>286444</v>
      </c>
      <c r="D91" s="257">
        <v>266565</v>
      </c>
      <c r="E91" s="257">
        <f>C91-D91</f>
        <v>19879</v>
      </c>
      <c r="F91" s="253">
        <f t="shared" si="1"/>
        <v>289972.53513713792</v>
      </c>
      <c r="G91" s="257">
        <f>'Table 1.1.8'!K60</f>
        <v>270033.53513713792</v>
      </c>
      <c r="H91" s="255">
        <f>0.5*E91+0.5*E92</f>
        <v>19939</v>
      </c>
      <c r="I91" s="319">
        <f>F91/'Table 1.3.1'!P91</f>
        <v>0.20202596744815982</v>
      </c>
      <c r="J91" s="319">
        <f>F91/'Table 1.3.1'!E91</f>
        <v>0.27357762673629227</v>
      </c>
      <c r="K91" s="319">
        <f>F91/'Table 1.3.1'!K91</f>
        <v>0.43580788050977104</v>
      </c>
      <c r="L91" s="318">
        <f>F91/'Table 1.3.1'!L91</f>
        <v>0.77244588404308367</v>
      </c>
    </row>
    <row r="92" spans="1:12" ht="12.75" customHeight="1">
      <c r="A92" s="58">
        <v>2014</v>
      </c>
      <c r="B92" s="138">
        <f>'Table 1.3.1'!F92*'Table 1.3.1.1'!D$131</f>
        <v>525.636749165742</v>
      </c>
      <c r="C92" s="257">
        <v>323633</v>
      </c>
      <c r="D92" s="257">
        <v>303634</v>
      </c>
      <c r="E92" s="257">
        <f>C92-D92</f>
        <v>19999</v>
      </c>
      <c r="F92" s="253">
        <f t="shared" si="1"/>
        <v>348928.42702465481</v>
      </c>
      <c r="G92" s="257">
        <f>'Table 1.1.8'!K61</f>
        <v>328731.72702465486</v>
      </c>
      <c r="H92" s="255">
        <f>TREND(H87:H91,'Table 1.3.1'!$A87:$A91,'Table 1.3.1'!$A92)</f>
        <v>20196.699999999953</v>
      </c>
      <c r="I92" s="319">
        <f>F92/'Table 1.3.1'!P92</f>
        <v>0.22200672616822301</v>
      </c>
      <c r="J92" s="319">
        <f>F92/'Table 1.3.1'!E92</f>
        <v>0.29947669543164884</v>
      </c>
      <c r="K92" s="319">
        <f>F92/'Table 1.3.1'!K92</f>
        <v>0.46184895716087343</v>
      </c>
      <c r="L92" s="318">
        <f>F92/'Table 1.3.1'!L92</f>
        <v>0.85821436807832663</v>
      </c>
    </row>
    <row r="93" spans="1:12" ht="12.75" customHeight="1">
      <c r="A93" s="58">
        <v>2015</v>
      </c>
      <c r="B93" s="138">
        <f>'Table 1.3.1'!F93*'Table 1.3.1.1'!D$131</f>
        <v>558.36631013496617</v>
      </c>
      <c r="C93" s="257">
        <v>347341</v>
      </c>
      <c r="D93" s="315" t="s">
        <v>65</v>
      </c>
      <c r="E93" s="315" t="s">
        <v>65</v>
      </c>
      <c r="F93" s="253">
        <f t="shared" si="1"/>
        <v>378225.17233599356</v>
      </c>
      <c r="G93" s="257">
        <f>'Table 1.1.8'!K62</f>
        <v>357173.41233599378</v>
      </c>
      <c r="H93" s="255">
        <f>TREND(H88:H92,'Table 1.3.1'!$A88:$A92,'Table 1.3.1'!$A93)</f>
        <v>21051.759999999776</v>
      </c>
      <c r="I93" s="319">
        <f>F93/'Table 1.3.1'!P93</f>
        <v>0.22772732111207392</v>
      </c>
      <c r="J93" s="319">
        <f>F93/'Table 1.3.1'!E93</f>
        <v>0.30582529123578528</v>
      </c>
      <c r="K93" s="319">
        <f>F93/'Table 1.3.1'!K93</f>
        <v>0.47139217951055323</v>
      </c>
      <c r="L93" s="318">
        <f>F93/'Table 1.3.1'!L93</f>
        <v>0.89176164490734067</v>
      </c>
    </row>
    <row r="94" spans="1:12" ht="12.75" customHeight="1">
      <c r="A94" s="58">
        <v>2016</v>
      </c>
      <c r="B94" s="138">
        <f>'Table 1.3.1'!F94*'Table 1.3.1.1'!D$131</f>
        <v>594.96107639960371</v>
      </c>
      <c r="C94" s="257">
        <v>373791</v>
      </c>
      <c r="D94" s="315" t="s">
        <v>65</v>
      </c>
      <c r="E94" s="315" t="s">
        <v>65</v>
      </c>
      <c r="F94" s="253">
        <f t="shared" si="1"/>
        <v>411750.03265451756</v>
      </c>
      <c r="G94" s="257">
        <f>'Table 1.1.8'!K63</f>
        <v>389828.77465451788</v>
      </c>
      <c r="H94" s="255">
        <f>TREND(H89:H93,'Table 1.3.1'!$A89:$A93,'Table 1.3.1'!$A94)</f>
        <v>21921.257999999681</v>
      </c>
      <c r="I94" s="319">
        <f>F94/'Table 1.3.1'!P94</f>
        <v>0.23237812827408855</v>
      </c>
      <c r="J94" s="319">
        <f>F94/'Table 1.3.1'!E94</f>
        <v>0.31166656468701665</v>
      </c>
      <c r="K94" s="319">
        <f>F94/'Table 1.3.1'!K94</f>
        <v>0.47737851515267565</v>
      </c>
      <c r="L94" s="318">
        <f>F94/'Table 1.3.1'!L94</f>
        <v>0.91343071227187356</v>
      </c>
    </row>
    <row r="95" spans="1:12" ht="12.75" customHeight="1">
      <c r="A95" s="58">
        <v>2017</v>
      </c>
      <c r="B95" s="138">
        <f>'Table 1.3.1'!F95*'Table 1.3.1.1'!D$131</f>
        <v>630.40251527770658</v>
      </c>
      <c r="C95" s="257">
        <v>390745</v>
      </c>
      <c r="D95" s="315" t="s">
        <v>65</v>
      </c>
      <c r="E95" s="315" t="s">
        <v>65</v>
      </c>
      <c r="F95" s="253">
        <f t="shared" si="1"/>
        <v>438398.66709728586</v>
      </c>
      <c r="G95" s="257">
        <f>'Table 1.1.8'!K64</f>
        <v>415814.74069728632</v>
      </c>
      <c r="H95" s="255">
        <f>TREND(H90:H94,'Table 1.3.1'!$A90:$A94,'Table 1.3.1'!$A95)</f>
        <v>22583.926399999531</v>
      </c>
      <c r="I95" s="319">
        <f>F95/'Table 1.3.1'!P95</f>
        <v>0.23245185377988417</v>
      </c>
      <c r="J95" s="319">
        <f>F95/'Table 1.3.1'!E95</f>
        <v>0.31269480358001184</v>
      </c>
      <c r="K95" s="319">
        <f>F95/'Table 1.3.1'!K95</f>
        <v>0.47529428208652841</v>
      </c>
      <c r="L95" s="318">
        <f>F95/'Table 1.3.1'!L95</f>
        <v>0.90583019368755657</v>
      </c>
    </row>
    <row r="96" spans="1:12" ht="12.75" customHeight="1">
      <c r="A96" s="58">
        <v>2018</v>
      </c>
      <c r="B96" s="138">
        <f>'Table 1.3.1'!F96*'Table 1.3.1.1'!D$131</f>
        <v>660.13965924403033</v>
      </c>
      <c r="C96" s="257">
        <v>405149</v>
      </c>
      <c r="D96" s="315" t="s">
        <v>65</v>
      </c>
      <c r="E96" s="315" t="s">
        <v>65</v>
      </c>
      <c r="F96" s="253">
        <f t="shared" si="1"/>
        <v>467320.28667952726</v>
      </c>
      <c r="G96" s="257">
        <f>'Table 1.1.8'!K65</f>
        <v>444077.43455952778</v>
      </c>
      <c r="H96" s="255">
        <f>TREND(H91:H95,'Table 1.3.1'!$A91:$A95,'Table 1.3.1'!$A96)</f>
        <v>23242.852119999472</v>
      </c>
      <c r="I96" s="319">
        <f>F96/'Table 1.3.1'!P96</f>
        <v>0.23168713496795265</v>
      </c>
      <c r="J96" s="319">
        <f>F96/'Table 1.3.1'!E96</f>
        <v>0.31231868068826552</v>
      </c>
      <c r="K96" s="319">
        <f>F96/'Table 1.3.1'!K96</f>
        <v>0.4729680700849167</v>
      </c>
      <c r="L96" s="318">
        <f>F96/'Table 1.3.1'!L96</f>
        <v>0.89741824591371999</v>
      </c>
    </row>
    <row r="97" spans="1:24" ht="12.75" customHeight="1">
      <c r="A97" s="58">
        <v>2019</v>
      </c>
      <c r="B97" s="138">
        <f>'Table 1.3.1'!F97*'Table 1.3.1.1'!D$131</f>
        <v>689.78329017901342</v>
      </c>
      <c r="C97" s="315" t="s">
        <v>65</v>
      </c>
      <c r="D97" s="315" t="s">
        <v>65</v>
      </c>
      <c r="E97" s="315" t="s">
        <v>65</v>
      </c>
      <c r="F97" s="253">
        <f t="shared" si="1"/>
        <v>499114.77420973638</v>
      </c>
      <c r="G97" s="257">
        <f>'Table 1.1.8'!K66</f>
        <v>475028.13371373713</v>
      </c>
      <c r="H97" s="255">
        <f>TREND(H92:H96,'Table 1.3.1'!$A92:$A96,'Table 1.3.1'!$A97)</f>
        <v>24086.640495999251</v>
      </c>
      <c r="I97" s="319">
        <f>F97/'Table 1.3.1'!P97</f>
        <v>0.23093463579591453</v>
      </c>
      <c r="J97" s="319">
        <f>F97/'Table 1.3.1'!E97</f>
        <v>0.31199948974737052</v>
      </c>
      <c r="K97" s="319">
        <f>F97/'Table 1.3.1'!K97</f>
        <v>0.47056693860411414</v>
      </c>
      <c r="L97" s="318">
        <f>F97/'Table 1.3.1'!L97</f>
        <v>0.88881290745884411</v>
      </c>
    </row>
    <row r="98" spans="1:24" ht="12.75" customHeight="1">
      <c r="A98" s="58">
        <v>2020</v>
      </c>
      <c r="B98" s="138">
        <f>'Table 1.3.1'!F98*'Table 1.3.1.1'!D$131</f>
        <v>720.01917031248729</v>
      </c>
      <c r="C98" s="315" t="s">
        <v>65</v>
      </c>
      <c r="D98" s="315" t="s">
        <v>65</v>
      </c>
      <c r="E98" s="315" t="s">
        <v>65</v>
      </c>
      <c r="F98" s="253">
        <f t="shared" si="1"/>
        <v>531595.64339879097</v>
      </c>
      <c r="G98" s="257">
        <f>'Table 1.1.8'!K67</f>
        <v>506800.94946199178</v>
      </c>
      <c r="H98" s="255">
        <f>TREND(H93:H97,'Table 1.3.1'!$A93:$A97,'Table 1.3.1'!$A98)</f>
        <v>24794.693936799187</v>
      </c>
      <c r="I98" s="319">
        <f>F98/'Table 1.3.1'!P98</f>
        <v>0.22871709061098622</v>
      </c>
      <c r="J98" s="319">
        <f>F98/'Table 1.3.1'!E98</f>
        <v>0.31037980063453324</v>
      </c>
      <c r="K98" s="319">
        <f>F98/'Table 1.3.1'!K98</f>
        <v>0.46503958750142227</v>
      </c>
      <c r="L98" s="318">
        <f>F98/'Table 1.3.1'!L98</f>
        <v>0.86929719776724346</v>
      </c>
    </row>
    <row r="99" spans="1:24" ht="12.75" customHeight="1">
      <c r="A99" s="58">
        <v>2021</v>
      </c>
      <c r="B99" s="138">
        <f>'Table 1.3.1'!F99*'Table 1.3.1.1'!D$131</f>
        <v>751.00315469668624</v>
      </c>
      <c r="C99" s="315" t="s">
        <v>65</v>
      </c>
      <c r="D99" s="315" t="s">
        <v>65</v>
      </c>
      <c r="E99" s="315" t="s">
        <v>65</v>
      </c>
      <c r="F99" s="253">
        <f t="shared" si="1"/>
        <v>569069.57781572547</v>
      </c>
      <c r="G99" s="257">
        <f>'Table 1.1.8'!K68</f>
        <v>543568.82783428649</v>
      </c>
      <c r="H99" s="261">
        <f>TREND(H94:H98,'Table 1.3.1'!$A94:$A98,'Table 1.3.1'!$A99)</f>
        <v>25500.749981438974</v>
      </c>
      <c r="I99" s="319">
        <f>F99/'Table 1.3.1'!P99</f>
        <v>0.22751073765641167</v>
      </c>
      <c r="J99" s="319">
        <f>F99/'Table 1.3.1'!E99</f>
        <v>0.30993980517604286</v>
      </c>
      <c r="K99" s="319">
        <f>F99/'Table 1.3.1'!K99</f>
        <v>0.46104960936746681</v>
      </c>
      <c r="L99" s="318">
        <f>F99/'Table 1.3.1'!L99</f>
        <v>0.85545834529660703</v>
      </c>
    </row>
    <row r="100" spans="1:24" ht="18" customHeight="1">
      <c r="A100" s="123" t="s">
        <v>23</v>
      </c>
      <c r="B100" s="27" t="s">
        <v>24</v>
      </c>
      <c r="C100" s="27" t="s">
        <v>25</v>
      </c>
      <c r="D100" s="27" t="s">
        <v>26</v>
      </c>
      <c r="E100" s="27" t="s">
        <v>27</v>
      </c>
      <c r="F100" s="27" t="s">
        <v>28</v>
      </c>
      <c r="G100" s="27" t="s">
        <v>29</v>
      </c>
      <c r="H100" s="27" t="s">
        <v>30</v>
      </c>
      <c r="I100" s="27" t="s">
        <v>31</v>
      </c>
      <c r="J100" s="27" t="s">
        <v>32</v>
      </c>
      <c r="K100" s="27" t="s">
        <v>33</v>
      </c>
      <c r="L100" s="27" t="s">
        <v>34</v>
      </c>
    </row>
    <row r="101" spans="1:24" s="93" customFormat="1" ht="18" customHeight="1">
      <c r="A101" s="31" t="s">
        <v>36</v>
      </c>
      <c r="B101" s="32">
        <v>41516</v>
      </c>
      <c r="C101" s="32"/>
      <c r="D101" s="32"/>
      <c r="E101" s="32"/>
      <c r="F101" s="32"/>
      <c r="G101" s="32"/>
      <c r="H101" s="31"/>
      <c r="I101" s="31"/>
      <c r="J101" s="31"/>
      <c r="K101" s="137"/>
      <c r="M101" s="42"/>
      <c r="N101" s="42"/>
      <c r="O101" s="42"/>
      <c r="P101" s="42"/>
      <c r="Q101" s="42"/>
      <c r="R101" s="42"/>
      <c r="S101" s="42"/>
      <c r="T101" s="42"/>
      <c r="U101" s="42"/>
      <c r="V101" s="42"/>
      <c r="W101" s="42"/>
      <c r="X101" s="42"/>
    </row>
    <row r="102" spans="1:24" ht="24.75" customHeight="1">
      <c r="A102" s="175" t="s">
        <v>37</v>
      </c>
      <c r="B102" s="114" t="s">
        <v>38</v>
      </c>
      <c r="C102" s="114"/>
      <c r="D102" s="114"/>
      <c r="E102" s="114"/>
      <c r="F102" s="114"/>
      <c r="G102" s="114"/>
      <c r="H102" s="114"/>
      <c r="I102" s="114"/>
      <c r="J102" s="114"/>
      <c r="K102" s="114"/>
      <c r="L102" s="114"/>
      <c r="M102" s="321"/>
      <c r="N102" s="321"/>
      <c r="O102" s="321"/>
      <c r="P102" s="321"/>
    </row>
    <row r="103" spans="1:24" s="38" customFormat="1" ht="18" customHeight="1">
      <c r="A103" s="35" t="s">
        <v>39</v>
      </c>
      <c r="B103" s="36"/>
      <c r="C103" s="36"/>
      <c r="D103" s="36"/>
      <c r="E103" s="36"/>
      <c r="F103" s="36"/>
      <c r="G103" s="36"/>
      <c r="H103" s="36"/>
      <c r="I103" s="36"/>
      <c r="J103" s="36"/>
      <c r="K103" s="36"/>
      <c r="L103" s="37"/>
    </row>
    <row r="104" spans="1:24" s="41" customFormat="1" ht="36" customHeight="1">
      <c r="A104" s="39" t="str">
        <f>B100</f>
        <v>[A]</v>
      </c>
      <c r="B104" s="40" t="s">
        <v>573</v>
      </c>
      <c r="C104" s="40"/>
      <c r="D104" s="40"/>
      <c r="E104" s="40"/>
      <c r="F104" s="40"/>
      <c r="G104" s="40"/>
      <c r="H104" s="40"/>
      <c r="I104" s="40"/>
      <c r="J104" s="40"/>
      <c r="K104" s="40"/>
      <c r="L104" s="40"/>
    </row>
    <row r="105" spans="1:24" s="41" customFormat="1" ht="48" customHeight="1">
      <c r="A105" s="39" t="str">
        <f>C100</f>
        <v>[B]</v>
      </c>
      <c r="B105" s="40" t="s">
        <v>574</v>
      </c>
      <c r="C105" s="40"/>
      <c r="D105" s="40"/>
      <c r="E105" s="40"/>
      <c r="F105" s="40"/>
      <c r="G105" s="40"/>
      <c r="H105" s="40"/>
      <c r="I105" s="40"/>
      <c r="J105" s="40"/>
      <c r="K105" s="40"/>
      <c r="L105" s="40"/>
    </row>
    <row r="106" spans="1:24" s="41" customFormat="1" ht="84" customHeight="1">
      <c r="A106" s="39" t="str">
        <f>D100</f>
        <v>[C]</v>
      </c>
      <c r="B106" s="40" t="s">
        <v>575</v>
      </c>
      <c r="C106" s="40"/>
      <c r="D106" s="40"/>
      <c r="E106" s="40"/>
      <c r="F106" s="40"/>
      <c r="G106" s="40"/>
      <c r="H106" s="40"/>
      <c r="I106" s="40"/>
      <c r="J106" s="40"/>
      <c r="K106" s="40"/>
      <c r="L106" s="40"/>
    </row>
    <row r="107" spans="1:24" s="41" customFormat="1" ht="24.75" customHeight="1">
      <c r="A107" s="39" t="str">
        <f>E100</f>
        <v>[D]</v>
      </c>
      <c r="B107" s="40" t="s">
        <v>576</v>
      </c>
      <c r="C107" s="40"/>
      <c r="D107" s="40"/>
      <c r="E107" s="40"/>
      <c r="F107" s="40"/>
      <c r="G107" s="40"/>
      <c r="H107" s="40"/>
      <c r="I107" s="40"/>
      <c r="J107" s="40"/>
      <c r="K107" s="40"/>
      <c r="L107" s="40"/>
    </row>
    <row r="108" spans="1:24" s="41" customFormat="1" ht="18" customHeight="1">
      <c r="A108" s="39" t="str">
        <f>F100</f>
        <v>[E]</v>
      </c>
      <c r="B108" s="40" t="s">
        <v>577</v>
      </c>
      <c r="C108" s="40"/>
      <c r="D108" s="40"/>
      <c r="E108" s="40"/>
      <c r="F108" s="40"/>
      <c r="G108" s="40"/>
      <c r="H108" s="40"/>
      <c r="I108" s="40"/>
      <c r="J108" s="40"/>
      <c r="K108" s="40"/>
      <c r="L108" s="40"/>
    </row>
    <row r="109" spans="1:24" s="41" customFormat="1" ht="18" customHeight="1">
      <c r="A109" s="39" t="str">
        <f>G100</f>
        <v>[F]</v>
      </c>
      <c r="B109" s="40" t="s">
        <v>578</v>
      </c>
      <c r="C109" s="40"/>
      <c r="D109" s="40"/>
      <c r="E109" s="40"/>
      <c r="F109" s="40"/>
      <c r="G109" s="40"/>
      <c r="H109" s="40"/>
      <c r="I109" s="40"/>
      <c r="J109" s="40"/>
      <c r="K109" s="40"/>
      <c r="L109" s="40"/>
    </row>
    <row r="110" spans="1:24" s="41" customFormat="1" ht="84" customHeight="1">
      <c r="A110" s="39" t="str">
        <f>H100</f>
        <v>[G]</v>
      </c>
      <c r="B110" s="40" t="s">
        <v>579</v>
      </c>
      <c r="C110" s="40"/>
      <c r="D110" s="40"/>
      <c r="E110" s="40"/>
      <c r="F110" s="40"/>
      <c r="G110" s="40"/>
      <c r="H110" s="40"/>
      <c r="I110" s="40"/>
      <c r="J110" s="40"/>
      <c r="K110" s="40"/>
      <c r="L110" s="40"/>
    </row>
    <row r="111" spans="1:24" s="41" customFormat="1" ht="24.75" customHeight="1">
      <c r="A111" s="39" t="str">
        <f>I100</f>
        <v>[H]</v>
      </c>
      <c r="B111" s="40" t="s">
        <v>580</v>
      </c>
      <c r="C111" s="40"/>
      <c r="D111" s="40"/>
      <c r="E111" s="40"/>
      <c r="F111" s="40"/>
      <c r="G111" s="40"/>
      <c r="H111" s="40"/>
      <c r="I111" s="40"/>
      <c r="J111" s="40"/>
      <c r="K111" s="40"/>
      <c r="L111" s="40"/>
    </row>
    <row r="112" spans="1:24" s="41" customFormat="1" ht="24.75" customHeight="1">
      <c r="A112" s="39" t="str">
        <f>J100</f>
        <v>[I]</v>
      </c>
      <c r="B112" s="40" t="s">
        <v>581</v>
      </c>
      <c r="C112" s="40"/>
      <c r="D112" s="40"/>
      <c r="E112" s="40"/>
      <c r="F112" s="40"/>
      <c r="G112" s="40"/>
      <c r="H112" s="40"/>
      <c r="I112" s="40"/>
      <c r="J112" s="40"/>
      <c r="K112" s="40"/>
      <c r="L112" s="40"/>
    </row>
    <row r="113" spans="1:12" s="41" customFormat="1" ht="24.75" customHeight="1">
      <c r="A113" s="39" t="str">
        <f>K100</f>
        <v>[J]</v>
      </c>
      <c r="B113" s="40" t="s">
        <v>582</v>
      </c>
      <c r="C113" s="40"/>
      <c r="D113" s="40"/>
      <c r="E113" s="40"/>
      <c r="F113" s="40"/>
      <c r="G113" s="40"/>
      <c r="H113" s="40"/>
      <c r="I113" s="40"/>
      <c r="J113" s="40"/>
      <c r="K113" s="40"/>
      <c r="L113" s="40"/>
    </row>
    <row r="114" spans="1:12" s="41" customFormat="1" ht="24.75" customHeight="1">
      <c r="A114" s="39" t="str">
        <f>L100</f>
        <v>[K]</v>
      </c>
      <c r="B114" s="40" t="s">
        <v>583</v>
      </c>
      <c r="C114" s="40"/>
      <c r="D114" s="40"/>
      <c r="E114" s="40"/>
      <c r="F114" s="40"/>
      <c r="G114" s="40"/>
      <c r="H114" s="40"/>
      <c r="I114" s="40"/>
      <c r="J114" s="40"/>
      <c r="K114" s="40"/>
      <c r="L114" s="40"/>
    </row>
    <row r="115" spans="1:12" s="38" customFormat="1" ht="18" customHeight="1">
      <c r="A115" s="43" t="s">
        <v>52</v>
      </c>
      <c r="B115" s="43"/>
      <c r="C115" s="43"/>
      <c r="D115" s="43"/>
      <c r="E115" s="43"/>
      <c r="F115" s="43"/>
      <c r="G115" s="43"/>
      <c r="H115" s="43"/>
      <c r="I115" s="43"/>
      <c r="J115" s="148"/>
      <c r="K115" s="263"/>
    </row>
    <row r="116" spans="1:12" s="38" customFormat="1" ht="18" customHeight="1">
      <c r="A116" s="44" t="s">
        <v>53</v>
      </c>
      <c r="B116" s="297" t="s">
        <v>584</v>
      </c>
      <c r="C116" s="297"/>
      <c r="D116" s="297"/>
      <c r="E116" s="298"/>
      <c r="F116" s="298"/>
      <c r="G116" s="298"/>
      <c r="H116" s="298"/>
      <c r="I116" s="298"/>
      <c r="J116" s="298"/>
      <c r="K116" s="322"/>
    </row>
    <row r="117" spans="1:12" s="57" customFormat="1" ht="36" customHeight="1">
      <c r="A117" s="116"/>
      <c r="B117" s="79" t="s">
        <v>94</v>
      </c>
      <c r="C117" s="15" t="s">
        <v>585</v>
      </c>
      <c r="D117" s="15" t="s">
        <v>586</v>
      </c>
      <c r="E117" s="62"/>
      <c r="F117" s="62"/>
      <c r="G117" s="62"/>
      <c r="H117" s="12"/>
      <c r="I117" s="12"/>
      <c r="K117" s="62"/>
      <c r="L117" s="62"/>
    </row>
    <row r="118" spans="1:12" s="57" customFormat="1" ht="29.25" customHeight="1">
      <c r="A118" s="12"/>
      <c r="B118" s="13"/>
      <c r="C118" s="11" t="s">
        <v>547</v>
      </c>
      <c r="D118" s="11"/>
      <c r="E118" s="62"/>
      <c r="F118" s="62"/>
      <c r="G118" s="62"/>
      <c r="H118" s="12"/>
      <c r="I118" s="12"/>
      <c r="K118" s="62"/>
      <c r="L118" s="12"/>
    </row>
    <row r="119" spans="1:12" s="57" customFormat="1" ht="24.75" customHeight="1">
      <c r="A119" s="12"/>
      <c r="B119" s="50"/>
      <c r="C119" s="9"/>
      <c r="D119" s="9"/>
      <c r="E119" s="62"/>
      <c r="F119" s="62"/>
      <c r="G119" s="62"/>
      <c r="H119" s="12"/>
      <c r="I119" s="12"/>
      <c r="K119" s="62"/>
      <c r="L119" s="12"/>
    </row>
    <row r="120" spans="1:12" s="57" customFormat="1" ht="15" customHeight="1">
      <c r="A120" s="12"/>
      <c r="B120" s="125">
        <v>2002</v>
      </c>
      <c r="C120" s="23">
        <f>'Table 1.3.1'!E250</f>
        <v>1654.8</v>
      </c>
      <c r="D120" s="85">
        <f>B80/C120</f>
        <v>0.17355571670292483</v>
      </c>
      <c r="E120" s="103"/>
      <c r="F120" s="103"/>
      <c r="G120" s="103"/>
      <c r="H120" s="323"/>
      <c r="I120" s="323"/>
      <c r="K120" s="103"/>
      <c r="L120" s="103"/>
    </row>
    <row r="121" spans="1:12" s="57" customFormat="1" ht="15" customHeight="1">
      <c r="A121" s="12"/>
      <c r="B121" s="125">
        <v>2003</v>
      </c>
      <c r="C121" s="23">
        <f>'Table 1.3.1'!E251</f>
        <v>1741.8</v>
      </c>
      <c r="D121" s="85">
        <f>B81/C121</f>
        <v>0.18469399471810771</v>
      </c>
      <c r="E121" s="103"/>
      <c r="F121" s="103"/>
      <c r="G121" s="103"/>
      <c r="H121" s="324"/>
      <c r="I121" s="324"/>
      <c r="K121" s="103"/>
      <c r="L121" s="103"/>
    </row>
    <row r="122" spans="1:12" s="57" customFormat="1" ht="15" customHeight="1">
      <c r="A122" s="12"/>
      <c r="B122" s="125">
        <v>2004</v>
      </c>
      <c r="C122" s="23">
        <f>'Table 1.3.1'!E252</f>
        <v>1832.9</v>
      </c>
      <c r="D122" s="85">
        <f>B82/C122</f>
        <v>0.18124283921654208</v>
      </c>
      <c r="E122" s="103"/>
      <c r="F122" s="103"/>
      <c r="G122" s="103"/>
      <c r="H122" s="324"/>
      <c r="I122" s="324"/>
      <c r="K122" s="103"/>
      <c r="L122" s="103"/>
    </row>
    <row r="123" spans="1:12" s="57" customFormat="1" ht="15" customHeight="1">
      <c r="A123" s="12"/>
      <c r="B123" s="125">
        <v>2005</v>
      </c>
      <c r="C123" s="23">
        <f>'Table 1.3.1'!E253</f>
        <v>1925.3</v>
      </c>
      <c r="D123" s="85">
        <f>B83/C123</f>
        <v>0.17836181374331272</v>
      </c>
      <c r="E123" s="103"/>
      <c r="F123" s="103"/>
      <c r="G123" s="103"/>
      <c r="H123" s="324"/>
      <c r="I123" s="324"/>
      <c r="K123" s="103"/>
      <c r="L123" s="103"/>
    </row>
    <row r="124" spans="1:12" s="57" customFormat="1" ht="15" customHeight="1">
      <c r="A124" s="12"/>
      <c r="B124" s="125">
        <v>2006</v>
      </c>
      <c r="C124" s="23">
        <f>'Table 1.3.1'!E254</f>
        <v>2005.3</v>
      </c>
      <c r="D124" s="85">
        <f>B84/C124</f>
        <v>0.16994963347130107</v>
      </c>
      <c r="E124" s="103"/>
      <c r="F124" s="103"/>
      <c r="G124" s="103"/>
      <c r="H124" s="324"/>
      <c r="I124" s="324"/>
      <c r="K124" s="103"/>
      <c r="L124" s="103"/>
    </row>
    <row r="125" spans="1:12" s="57" customFormat="1" ht="12.75" customHeight="1">
      <c r="A125" s="12"/>
      <c r="B125" s="125">
        <v>2007</v>
      </c>
      <c r="C125" s="23">
        <f>'Table 1.3.1'!E255</f>
        <v>2141.1999999999998</v>
      </c>
      <c r="D125" s="85">
        <f>B85/C125</f>
        <v>0.1676629927143658</v>
      </c>
      <c r="E125" s="103"/>
      <c r="F125" s="103"/>
      <c r="G125" s="103"/>
      <c r="H125" s="324"/>
      <c r="I125" s="323"/>
      <c r="K125" s="103"/>
      <c r="L125" s="103"/>
    </row>
    <row r="126" spans="1:12" s="89" customFormat="1" ht="12.75" customHeight="1">
      <c r="A126" s="12"/>
      <c r="B126" s="125">
        <v>2008</v>
      </c>
      <c r="C126" s="23">
        <f>'Table 1.3.1'!E256</f>
        <v>2246.6</v>
      </c>
      <c r="D126" s="85">
        <f>B86/C126</f>
        <v>0.16513843140746018</v>
      </c>
      <c r="E126" s="103"/>
      <c r="F126" s="103"/>
      <c r="G126" s="103"/>
      <c r="H126" s="324"/>
      <c r="I126" s="324"/>
      <c r="J126" s="124"/>
      <c r="K126" s="103"/>
      <c r="L126" s="103"/>
    </row>
    <row r="127" spans="1:12" s="89" customFormat="1" ht="12.75" customHeight="1">
      <c r="A127" s="62"/>
      <c r="B127" s="125">
        <v>2009</v>
      </c>
      <c r="C127" s="23">
        <f>'Table 1.3.1'!E257</f>
        <v>2358.3000000000002</v>
      </c>
      <c r="D127" s="85">
        <f>B87/C127</f>
        <v>0.19425009540770893</v>
      </c>
      <c r="E127" s="103"/>
      <c r="F127" s="103"/>
      <c r="G127" s="103"/>
      <c r="H127" s="324"/>
      <c r="I127" s="324"/>
      <c r="J127" s="124"/>
      <c r="K127" s="103"/>
      <c r="L127" s="103"/>
    </row>
    <row r="128" spans="1:12" s="89" customFormat="1" ht="12.75" customHeight="1">
      <c r="A128" s="62"/>
      <c r="B128" s="125">
        <v>2010</v>
      </c>
      <c r="C128" s="23">
        <f>'Table 1.3.1'!E258</f>
        <v>2385.5</v>
      </c>
      <c r="D128" s="85">
        <f>B88/C128</f>
        <v>0.21182142108572627</v>
      </c>
      <c r="E128" s="103"/>
      <c r="F128" s="103"/>
      <c r="G128" s="103"/>
      <c r="H128" s="324"/>
      <c r="I128" s="324"/>
      <c r="J128" s="124"/>
      <c r="K128" s="103"/>
      <c r="L128" s="103"/>
    </row>
    <row r="129" spans="1:12" s="89" customFormat="1" ht="12.75" customHeight="1">
      <c r="A129" s="62"/>
      <c r="B129" s="125">
        <v>2011</v>
      </c>
      <c r="C129" s="23">
        <f>'Table 1.3.1'!E259</f>
        <v>2368.6</v>
      </c>
      <c r="D129" s="85">
        <f>B89/C129</f>
        <v>0.19948492780545471</v>
      </c>
      <c r="E129" s="103"/>
      <c r="F129" s="103"/>
      <c r="G129" s="103"/>
      <c r="H129" s="324"/>
      <c r="I129" s="324"/>
      <c r="J129" s="124"/>
      <c r="K129" s="103"/>
      <c r="L129" s="103"/>
    </row>
    <row r="130" spans="1:12" s="89" customFormat="1" ht="12.75" customHeight="1">
      <c r="A130" s="62"/>
      <c r="B130" s="125">
        <v>2012</v>
      </c>
      <c r="C130" s="325">
        <f>'Table 1.3.1'!E260</f>
        <v>2405.9</v>
      </c>
      <c r="D130" s="109">
        <f>B90/C130</f>
        <v>0.18421380772268173</v>
      </c>
      <c r="E130" s="103"/>
      <c r="F130" s="103"/>
      <c r="G130" s="103"/>
      <c r="H130" s="324"/>
      <c r="I130" s="324"/>
      <c r="J130" s="124"/>
      <c r="K130" s="103"/>
      <c r="L130" s="103"/>
    </row>
    <row r="131" spans="1:12" s="89" customFormat="1" ht="18" customHeight="1">
      <c r="A131" s="62"/>
      <c r="B131" s="305" t="s">
        <v>587</v>
      </c>
      <c r="C131" s="326"/>
      <c r="D131" s="85">
        <f>TREND(D121:D128,B121:B128,2013)</f>
        <v>0.19812008849997564</v>
      </c>
      <c r="E131" s="103"/>
      <c r="F131" s="103"/>
      <c r="G131" s="103"/>
      <c r="H131" s="324"/>
      <c r="I131" s="324"/>
      <c r="J131" s="124"/>
      <c r="K131" s="103"/>
      <c r="L131" s="103"/>
    </row>
    <row r="132" spans="1:12" s="89" customFormat="1" ht="18" customHeight="1">
      <c r="B132" s="123" t="s">
        <v>23</v>
      </c>
      <c r="C132" s="27" t="s">
        <v>67</v>
      </c>
      <c r="D132" s="27" t="s">
        <v>68</v>
      </c>
      <c r="E132" s="62"/>
      <c r="F132" s="62"/>
      <c r="G132" s="62"/>
      <c r="H132" s="12"/>
      <c r="I132" s="12"/>
      <c r="J132" s="124"/>
      <c r="K132" s="62"/>
      <c r="L132" s="62"/>
    </row>
    <row r="133" spans="1:12" s="89" customFormat="1" ht="18" customHeight="1">
      <c r="B133" s="39" t="str">
        <f>C132</f>
        <v>[P1a]</v>
      </c>
      <c r="C133" s="88" t="s">
        <v>548</v>
      </c>
      <c r="D133" s="88"/>
      <c r="E133" s="88"/>
      <c r="F133" s="88"/>
      <c r="G133" s="88"/>
      <c r="H133" s="88"/>
      <c r="I133" s="88"/>
      <c r="J133" s="88"/>
      <c r="K133" s="248"/>
    </row>
    <row r="134" spans="1:12" s="89" customFormat="1" ht="24.75" customHeight="1">
      <c r="B134" s="39" t="str">
        <f>D132</f>
        <v>[P1b]</v>
      </c>
      <c r="C134" s="88" t="s">
        <v>588</v>
      </c>
      <c r="D134" s="88"/>
      <c r="E134" s="88"/>
      <c r="F134" s="88"/>
      <c r="G134" s="88"/>
      <c r="H134" s="88"/>
      <c r="I134" s="88"/>
      <c r="J134" s="88"/>
      <c r="K134" s="248"/>
    </row>
    <row r="135" spans="1:12" s="38" customFormat="1" ht="18" customHeight="1">
      <c r="A135" s="43" t="s">
        <v>110</v>
      </c>
      <c r="B135" s="43"/>
      <c r="C135" s="43"/>
      <c r="D135" s="43"/>
      <c r="E135" s="43"/>
      <c r="F135" s="43"/>
      <c r="G135" s="43"/>
      <c r="H135" s="43"/>
      <c r="I135" s="43"/>
      <c r="J135" s="148"/>
      <c r="K135" s="263"/>
    </row>
    <row r="136" spans="1:12" s="310" customFormat="1" ht="24.75" customHeight="1">
      <c r="A136" s="39" t="s">
        <v>111</v>
      </c>
      <c r="B136" s="88" t="s">
        <v>376</v>
      </c>
      <c r="C136" s="88"/>
      <c r="D136" s="88"/>
      <c r="E136" s="88"/>
      <c r="F136" s="88"/>
      <c r="G136" s="88"/>
      <c r="H136" s="88"/>
      <c r="I136" s="88"/>
      <c r="J136" s="88"/>
      <c r="K136" s="88"/>
      <c r="L136" s="88"/>
    </row>
    <row r="137" spans="1:12" s="310" customFormat="1" ht="24.75" customHeight="1">
      <c r="A137" s="39" t="s">
        <v>113</v>
      </c>
      <c r="B137" s="88" t="s">
        <v>589</v>
      </c>
      <c r="C137" s="88"/>
      <c r="D137" s="88"/>
      <c r="E137" s="88"/>
      <c r="F137" s="88"/>
      <c r="G137" s="88"/>
      <c r="H137" s="88"/>
      <c r="I137" s="88"/>
      <c r="J137" s="88"/>
      <c r="K137" s="88"/>
      <c r="L137" s="88"/>
    </row>
    <row r="138" spans="1:12" s="310" customFormat="1" ht="48" customHeight="1">
      <c r="A138" s="39" t="s">
        <v>115</v>
      </c>
      <c r="B138" s="88" t="s">
        <v>590</v>
      </c>
      <c r="C138" s="88"/>
      <c r="D138" s="88"/>
      <c r="E138" s="88"/>
      <c r="F138" s="88"/>
      <c r="G138" s="88"/>
      <c r="H138" s="88"/>
      <c r="I138" s="88"/>
      <c r="J138" s="88"/>
      <c r="K138" s="88"/>
      <c r="L138" s="88"/>
    </row>
    <row r="139" spans="1:12" s="310" customFormat="1" ht="48" customHeight="1">
      <c r="A139" s="39" t="s">
        <v>117</v>
      </c>
      <c r="B139" s="88" t="s">
        <v>591</v>
      </c>
      <c r="C139" s="88"/>
      <c r="D139" s="88"/>
      <c r="E139" s="88"/>
      <c r="F139" s="88"/>
      <c r="G139" s="88"/>
      <c r="H139" s="88"/>
      <c r="I139" s="88"/>
      <c r="J139" s="88"/>
      <c r="K139" s="88"/>
      <c r="L139" s="88"/>
    </row>
    <row r="140" spans="1:12" s="310" customFormat="1" ht="36" customHeight="1">
      <c r="A140" s="39" t="s">
        <v>119</v>
      </c>
      <c r="B140" s="88" t="s">
        <v>592</v>
      </c>
      <c r="C140" s="88"/>
      <c r="D140" s="88"/>
      <c r="E140" s="88"/>
      <c r="F140" s="88"/>
      <c r="G140" s="88"/>
      <c r="H140" s="88"/>
      <c r="I140" s="88"/>
      <c r="J140" s="88"/>
      <c r="K140" s="88"/>
      <c r="L140" s="88"/>
    </row>
    <row r="141" spans="1:12" ht="18" customHeight="1">
      <c r="A141" s="91" t="s">
        <v>593</v>
      </c>
      <c r="B141" s="91"/>
      <c r="C141" s="91"/>
      <c r="D141" s="91"/>
      <c r="E141" s="91"/>
      <c r="F141" s="91"/>
      <c r="G141" s="91"/>
      <c r="H141" s="91"/>
      <c r="I141" s="91"/>
      <c r="J141" s="91"/>
      <c r="K141" s="327"/>
    </row>
    <row r="146" spans="1:7" s="167" customFormat="1" ht="30" customHeight="1">
      <c r="A146" s="311"/>
      <c r="B146" s="311"/>
      <c r="C146" s="311"/>
      <c r="D146" s="311"/>
      <c r="E146" s="311"/>
      <c r="F146" s="311"/>
      <c r="G146" s="311"/>
    </row>
    <row r="147" spans="1:7" s="167" customFormat="1" ht="30" customHeight="1"/>
    <row r="148" spans="1:7" s="167" customFormat="1" ht="30" customHeight="1"/>
    <row r="149" spans="1:7" s="167" customFormat="1" ht="30" customHeight="1"/>
    <row r="150" spans="1:7" s="167" customFormat="1" ht="30" customHeight="1"/>
  </sheetData>
  <mergeCells count="41">
    <mergeCell ref="B138:L138"/>
    <mergeCell ref="B139:L139"/>
    <mergeCell ref="B140:L140"/>
    <mergeCell ref="A141:J141"/>
    <mergeCell ref="H132:I132"/>
    <mergeCell ref="C133:J133"/>
    <mergeCell ref="C134:J134"/>
    <mergeCell ref="A135:I135"/>
    <mergeCell ref="B136:L136"/>
    <mergeCell ref="B137:L137"/>
    <mergeCell ref="B113:L113"/>
    <mergeCell ref="B114:L114"/>
    <mergeCell ref="A115:I115"/>
    <mergeCell ref="A117:A126"/>
    <mergeCell ref="B117:B119"/>
    <mergeCell ref="C117:C119"/>
    <mergeCell ref="D117:D119"/>
    <mergeCell ref="H117:H119"/>
    <mergeCell ref="I117:I119"/>
    <mergeCell ref="L118:L119"/>
    <mergeCell ref="B107:L107"/>
    <mergeCell ref="B108:L108"/>
    <mergeCell ref="B109:L109"/>
    <mergeCell ref="B110:L110"/>
    <mergeCell ref="B111:L111"/>
    <mergeCell ref="B112:L112"/>
    <mergeCell ref="B101:G101"/>
    <mergeCell ref="M101:X101"/>
    <mergeCell ref="B102:L102"/>
    <mergeCell ref="B104:L104"/>
    <mergeCell ref="B105:L105"/>
    <mergeCell ref="B106:L106"/>
    <mergeCell ref="A1:L1"/>
    <mergeCell ref="A2:L2"/>
    <mergeCell ref="A3:A6"/>
    <mergeCell ref="B3:L3"/>
    <mergeCell ref="B4:B6"/>
    <mergeCell ref="C4:L4"/>
    <mergeCell ref="C5:E5"/>
    <mergeCell ref="F5:H5"/>
    <mergeCell ref="I5:L5"/>
  </mergeCells>
  <printOptions horizontalCentered="1"/>
  <pageMargins left="0.7" right="0.7" top="0.75" bottom="0.75" header="0.3" footer="0.3"/>
  <pageSetup scale="96" fitToHeight="12" orientation="portrait" r:id="rId1"/>
  <rowBreaks count="1" manualBreakCount="1">
    <brk id="102" max="11"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2"/>
  <sheetViews>
    <sheetView view="pageBreakPreview" topLeftCell="A257" zoomScaleNormal="100" zoomScaleSheetLayoutView="100" workbookViewId="0">
      <selection activeCell="L9" sqref="L9"/>
    </sheetView>
  </sheetViews>
  <sheetFormatPr defaultRowHeight="15"/>
  <cols>
    <col min="1" max="1" width="6.7109375" customWidth="1"/>
    <col min="2" max="6" width="9" customWidth="1"/>
    <col min="7" max="8" width="8.7109375" customWidth="1"/>
    <col min="9" max="9" width="8.85546875" customWidth="1"/>
    <col min="10" max="10" width="8.7109375" customWidth="1"/>
    <col min="11" max="13" width="7.7109375" customWidth="1"/>
    <col min="14" max="15" width="9" customWidth="1"/>
    <col min="16" max="16" width="9.7109375" customWidth="1"/>
    <col min="17" max="17" width="11.140625" customWidth="1"/>
  </cols>
  <sheetData>
    <row r="1" spans="1:17" ht="24.75" customHeight="1">
      <c r="A1" s="92" t="s">
        <v>594</v>
      </c>
      <c r="B1" s="92"/>
      <c r="C1" s="92"/>
      <c r="D1" s="92"/>
      <c r="E1" s="92"/>
      <c r="F1" s="92"/>
      <c r="G1" s="92"/>
      <c r="H1" s="92"/>
      <c r="I1" s="92"/>
      <c r="J1" s="92"/>
      <c r="K1" s="92"/>
      <c r="L1" s="92"/>
      <c r="M1" s="92"/>
      <c r="N1" s="92"/>
      <c r="O1" s="92"/>
      <c r="P1" s="92"/>
      <c r="Q1" s="92"/>
    </row>
    <row r="2" spans="1:17" ht="15.75" customHeight="1" thickBot="1">
      <c r="A2" s="94" t="s">
        <v>428</v>
      </c>
      <c r="B2" s="94"/>
      <c r="C2" s="94"/>
      <c r="D2" s="94"/>
      <c r="E2" s="94"/>
      <c r="F2" s="94"/>
      <c r="G2" s="94"/>
      <c r="H2" s="94"/>
      <c r="I2" s="94"/>
      <c r="J2" s="94"/>
      <c r="K2" s="94"/>
      <c r="L2" s="94"/>
      <c r="M2" s="94"/>
      <c r="N2" s="94"/>
      <c r="O2" s="94"/>
      <c r="P2" s="94"/>
      <c r="Q2" s="94"/>
    </row>
    <row r="3" spans="1:17" ht="18" customHeight="1" thickTop="1">
      <c r="A3" s="2" t="s">
        <v>1</v>
      </c>
      <c r="B3" s="5" t="s">
        <v>595</v>
      </c>
      <c r="C3" s="252"/>
      <c r="D3" s="252"/>
      <c r="E3" s="252"/>
      <c r="F3" s="3" t="s">
        <v>596</v>
      </c>
      <c r="G3" s="2"/>
      <c r="H3" s="2"/>
      <c r="I3" s="2"/>
      <c r="J3" s="2"/>
      <c r="K3" s="2"/>
      <c r="L3" s="2"/>
      <c r="M3" s="4"/>
      <c r="N3" s="3" t="s">
        <v>597</v>
      </c>
      <c r="O3" s="4"/>
      <c r="P3" s="5" t="s">
        <v>598</v>
      </c>
      <c r="Q3" s="6"/>
    </row>
    <row r="4" spans="1:17" ht="25.5" customHeight="1">
      <c r="A4" s="7"/>
      <c r="B4" s="14" t="s">
        <v>148</v>
      </c>
      <c r="C4" s="28" t="s">
        <v>599</v>
      </c>
      <c r="D4" s="30"/>
      <c r="E4" s="30"/>
      <c r="F4" s="14" t="s">
        <v>600</v>
      </c>
      <c r="G4" s="28" t="s">
        <v>601</v>
      </c>
      <c r="H4" s="30"/>
      <c r="I4" s="28" t="s">
        <v>602</v>
      </c>
      <c r="J4" s="29"/>
      <c r="K4" s="14" t="s">
        <v>603</v>
      </c>
      <c r="L4" s="14" t="s">
        <v>604</v>
      </c>
      <c r="M4" s="14" t="s">
        <v>605</v>
      </c>
      <c r="N4" s="9"/>
      <c r="O4" s="10"/>
      <c r="P4" s="14" t="s">
        <v>606</v>
      </c>
      <c r="Q4" s="15" t="s">
        <v>607</v>
      </c>
    </row>
    <row r="5" spans="1:17" ht="18" customHeight="1">
      <c r="A5" s="7"/>
      <c r="B5" s="47"/>
      <c r="C5" s="14" t="s">
        <v>148</v>
      </c>
      <c r="D5" s="14" t="s">
        <v>189</v>
      </c>
      <c r="E5" s="15" t="s">
        <v>608</v>
      </c>
      <c r="F5" s="47"/>
      <c r="G5" s="14" t="s">
        <v>609</v>
      </c>
      <c r="H5" s="14" t="s">
        <v>610</v>
      </c>
      <c r="I5" s="14" t="s">
        <v>611</v>
      </c>
      <c r="J5" s="14" t="s">
        <v>612</v>
      </c>
      <c r="K5" s="47"/>
      <c r="L5" s="47"/>
      <c r="M5" s="47"/>
      <c r="N5" s="14" t="s">
        <v>600</v>
      </c>
      <c r="O5" s="14" t="s">
        <v>613</v>
      </c>
      <c r="P5" s="47"/>
      <c r="Q5" s="11"/>
    </row>
    <row r="6" spans="1:17" ht="36" customHeight="1">
      <c r="A6" s="16" t="s">
        <v>22</v>
      </c>
      <c r="B6" s="18"/>
      <c r="C6" s="18"/>
      <c r="D6" s="18"/>
      <c r="E6" s="9"/>
      <c r="F6" s="18"/>
      <c r="G6" s="18"/>
      <c r="H6" s="18"/>
      <c r="I6" s="18"/>
      <c r="J6" s="18"/>
      <c r="K6" s="18"/>
      <c r="L6" s="18"/>
      <c r="M6" s="18"/>
      <c r="N6" s="18"/>
      <c r="O6" s="18"/>
      <c r="P6" s="18"/>
      <c r="Q6" s="9"/>
    </row>
    <row r="7" spans="1:17" ht="12.75" customHeight="1">
      <c r="A7" s="58">
        <v>1929</v>
      </c>
      <c r="B7" s="22">
        <v>77.400000000000006</v>
      </c>
      <c r="C7" s="22">
        <f>D7+E7</f>
        <v>3.2</v>
      </c>
      <c r="D7" s="22">
        <v>3</v>
      </c>
      <c r="E7" s="22">
        <v>0.2</v>
      </c>
      <c r="F7" s="239">
        <v>85.3</v>
      </c>
      <c r="G7" s="239">
        <v>0</v>
      </c>
      <c r="H7" s="239">
        <v>0</v>
      </c>
      <c r="I7" s="239">
        <v>0</v>
      </c>
      <c r="J7" s="239">
        <v>0</v>
      </c>
      <c r="K7" s="21">
        <f>F7+G7+H7-I7-J7</f>
        <v>85.3</v>
      </c>
      <c r="L7" s="22">
        <v>83.5</v>
      </c>
      <c r="M7" s="21">
        <f>K7-(F7-L7)</f>
        <v>83.5</v>
      </c>
      <c r="N7" s="22">
        <v>50.5</v>
      </c>
      <c r="O7" s="22">
        <v>45.5</v>
      </c>
      <c r="P7" s="22">
        <v>10.8</v>
      </c>
      <c r="Q7" s="23">
        <v>9542</v>
      </c>
    </row>
    <row r="8" spans="1:17" ht="12.75" customHeight="1">
      <c r="A8" s="58">
        <v>1930</v>
      </c>
      <c r="B8" s="22">
        <v>70.099999999999994</v>
      </c>
      <c r="C8" s="22">
        <f t="shared" ref="C8:C71" si="0">D8+E8</f>
        <v>3.1</v>
      </c>
      <c r="D8" s="22">
        <v>2.9</v>
      </c>
      <c r="E8" s="22">
        <v>0.2</v>
      </c>
      <c r="F8" s="244">
        <v>76.5</v>
      </c>
      <c r="G8" s="244">
        <v>0</v>
      </c>
      <c r="H8" s="244">
        <v>0</v>
      </c>
      <c r="I8" s="244">
        <v>0</v>
      </c>
      <c r="J8" s="244">
        <v>0</v>
      </c>
      <c r="K8" s="21">
        <f t="shared" ref="K8:K71" si="1">F8+G8+H8-I8-J8</f>
        <v>76.5</v>
      </c>
      <c r="L8" s="22">
        <v>74.900000000000006</v>
      </c>
      <c r="M8" s="21">
        <f t="shared" ref="M8:M71" si="2">K8-(F8-L8)</f>
        <v>74.900000000000006</v>
      </c>
      <c r="N8" s="22">
        <v>46.2</v>
      </c>
      <c r="O8" s="22">
        <v>41</v>
      </c>
      <c r="P8" s="22">
        <v>7.5</v>
      </c>
      <c r="Q8" s="23">
        <v>3717</v>
      </c>
    </row>
    <row r="9" spans="1:17" ht="12.75" customHeight="1">
      <c r="A9" s="58">
        <v>1931</v>
      </c>
      <c r="B9" s="22">
        <v>60.7</v>
      </c>
      <c r="C9" s="22">
        <f t="shared" si="0"/>
        <v>2.7</v>
      </c>
      <c r="D9" s="22">
        <v>2.6</v>
      </c>
      <c r="E9" s="22">
        <v>0.1</v>
      </c>
      <c r="F9" s="244">
        <v>65.599999999999994</v>
      </c>
      <c r="G9" s="244">
        <v>0</v>
      </c>
      <c r="H9" s="244">
        <v>0</v>
      </c>
      <c r="I9" s="244">
        <v>0</v>
      </c>
      <c r="J9" s="244">
        <v>0</v>
      </c>
      <c r="K9" s="21">
        <f t="shared" si="1"/>
        <v>65.599999999999994</v>
      </c>
      <c r="L9" s="22">
        <v>64.599999999999994</v>
      </c>
      <c r="M9" s="21">
        <f t="shared" si="2"/>
        <v>64.599999999999994</v>
      </c>
      <c r="N9" s="22">
        <v>39.200000000000003</v>
      </c>
      <c r="O9" s="22">
        <v>33.9</v>
      </c>
      <c r="P9" s="22">
        <v>3</v>
      </c>
      <c r="Q9" s="23">
        <v>64</v>
      </c>
    </row>
    <row r="10" spans="1:17" ht="12.75" customHeight="1">
      <c r="A10" s="58">
        <v>1932</v>
      </c>
      <c r="B10" s="22">
        <v>48.7</v>
      </c>
      <c r="C10" s="22">
        <f t="shared" si="0"/>
        <v>2.3000000000000003</v>
      </c>
      <c r="D10" s="22">
        <v>2.2000000000000002</v>
      </c>
      <c r="E10" s="22">
        <v>0.1</v>
      </c>
      <c r="F10" s="244">
        <v>50.3</v>
      </c>
      <c r="G10" s="244">
        <v>0</v>
      </c>
      <c r="H10" s="244">
        <v>0</v>
      </c>
      <c r="I10" s="244">
        <v>0</v>
      </c>
      <c r="J10" s="244">
        <v>0</v>
      </c>
      <c r="K10" s="21">
        <f t="shared" si="1"/>
        <v>50.3</v>
      </c>
      <c r="L10" s="22">
        <v>49.5</v>
      </c>
      <c r="M10" s="21">
        <f t="shared" si="2"/>
        <v>49.5</v>
      </c>
      <c r="N10" s="22">
        <v>30.5</v>
      </c>
      <c r="O10" s="22">
        <v>25.5</v>
      </c>
      <c r="P10" s="22">
        <v>-0.2</v>
      </c>
      <c r="Q10" s="23">
        <v>-1731</v>
      </c>
    </row>
    <row r="11" spans="1:17" ht="12.75" customHeight="1">
      <c r="A11" s="58">
        <v>1933</v>
      </c>
      <c r="B11" s="22">
        <v>45.9</v>
      </c>
      <c r="C11" s="22">
        <f t="shared" si="0"/>
        <v>2.1</v>
      </c>
      <c r="D11" s="22">
        <v>2</v>
      </c>
      <c r="E11" s="22">
        <v>0.1</v>
      </c>
      <c r="F11" s="244">
        <v>47.2</v>
      </c>
      <c r="G11" s="244">
        <v>0</v>
      </c>
      <c r="H11" s="244">
        <v>0</v>
      </c>
      <c r="I11" s="244">
        <v>0</v>
      </c>
      <c r="J11" s="244">
        <v>0</v>
      </c>
      <c r="K11" s="21">
        <f t="shared" si="1"/>
        <v>47.2</v>
      </c>
      <c r="L11" s="22">
        <v>46.4</v>
      </c>
      <c r="M11" s="21">
        <f t="shared" si="2"/>
        <v>46.4</v>
      </c>
      <c r="N11" s="22">
        <v>29</v>
      </c>
      <c r="O11" s="22">
        <v>23.9</v>
      </c>
      <c r="P11" s="22">
        <v>-0.2</v>
      </c>
      <c r="Q11" s="23">
        <v>1311</v>
      </c>
    </row>
    <row r="12" spans="1:17" ht="12.75" customHeight="1">
      <c r="A12" s="58">
        <v>1934</v>
      </c>
      <c r="B12" s="22">
        <v>51.5</v>
      </c>
      <c r="C12" s="22">
        <f t="shared" si="0"/>
        <v>2.3000000000000003</v>
      </c>
      <c r="D12" s="22">
        <v>2.2000000000000002</v>
      </c>
      <c r="E12" s="22">
        <v>0.1</v>
      </c>
      <c r="F12" s="244">
        <v>54.1</v>
      </c>
      <c r="G12" s="244">
        <v>0</v>
      </c>
      <c r="H12" s="244">
        <v>0</v>
      </c>
      <c r="I12" s="244">
        <v>0</v>
      </c>
      <c r="J12" s="244">
        <v>0</v>
      </c>
      <c r="K12" s="21">
        <f t="shared" si="1"/>
        <v>54.1</v>
      </c>
      <c r="L12" s="22">
        <v>53.2</v>
      </c>
      <c r="M12" s="21">
        <f t="shared" si="2"/>
        <v>53.2</v>
      </c>
      <c r="N12" s="22">
        <v>33.700000000000003</v>
      </c>
      <c r="O12" s="22">
        <v>27.6</v>
      </c>
      <c r="P12" s="22">
        <v>2.5</v>
      </c>
      <c r="Q12" s="23">
        <v>2471</v>
      </c>
    </row>
    <row r="13" spans="1:17" ht="12.75" customHeight="1">
      <c r="A13" s="58">
        <v>1935</v>
      </c>
      <c r="B13" s="22">
        <v>55.9</v>
      </c>
      <c r="C13" s="22">
        <f t="shared" si="0"/>
        <v>2.5</v>
      </c>
      <c r="D13" s="22">
        <v>2.2999999999999998</v>
      </c>
      <c r="E13" s="22">
        <v>0.2</v>
      </c>
      <c r="F13" s="244">
        <v>60.8</v>
      </c>
      <c r="G13" s="244">
        <v>0</v>
      </c>
      <c r="H13" s="244">
        <v>0</v>
      </c>
      <c r="I13" s="244">
        <v>0</v>
      </c>
      <c r="J13" s="244">
        <v>0</v>
      </c>
      <c r="K13" s="21">
        <f t="shared" si="1"/>
        <v>60.8</v>
      </c>
      <c r="L13" s="22">
        <v>59.8</v>
      </c>
      <c r="M13" s="21">
        <f t="shared" si="2"/>
        <v>59.8</v>
      </c>
      <c r="N13" s="22">
        <v>36.700000000000003</v>
      </c>
      <c r="O13" s="22">
        <v>30.2</v>
      </c>
      <c r="P13" s="22">
        <v>4</v>
      </c>
      <c r="Q13" s="23">
        <v>3420</v>
      </c>
    </row>
    <row r="14" spans="1:17" ht="12.75" customHeight="1">
      <c r="A14" s="58">
        <v>1936</v>
      </c>
      <c r="B14" s="22">
        <v>62.2</v>
      </c>
      <c r="C14" s="22">
        <f t="shared" si="0"/>
        <v>2.7</v>
      </c>
      <c r="D14" s="22">
        <v>2.5</v>
      </c>
      <c r="E14" s="22">
        <v>0.2</v>
      </c>
      <c r="F14" s="244">
        <v>69.2</v>
      </c>
      <c r="G14" s="244">
        <v>0</v>
      </c>
      <c r="H14" s="244">
        <v>0</v>
      </c>
      <c r="I14" s="244">
        <v>0</v>
      </c>
      <c r="J14" s="244">
        <v>0</v>
      </c>
      <c r="K14" s="21">
        <f t="shared" si="1"/>
        <v>69.2</v>
      </c>
      <c r="L14" s="22">
        <v>67.900000000000006</v>
      </c>
      <c r="M14" s="21">
        <f t="shared" si="2"/>
        <v>67.900000000000006</v>
      </c>
      <c r="N14" s="22">
        <v>42</v>
      </c>
      <c r="O14" s="22">
        <v>34.1</v>
      </c>
      <c r="P14" s="22">
        <v>6.2</v>
      </c>
      <c r="Q14" s="23">
        <v>5698</v>
      </c>
    </row>
    <row r="15" spans="1:17" ht="12.75" customHeight="1">
      <c r="A15" s="58">
        <v>1937</v>
      </c>
      <c r="B15" s="22">
        <v>66.8</v>
      </c>
      <c r="C15" s="22">
        <f t="shared" si="0"/>
        <v>2.9000000000000004</v>
      </c>
      <c r="D15" s="22">
        <v>2.7</v>
      </c>
      <c r="E15" s="22">
        <v>0.2</v>
      </c>
      <c r="F15" s="244">
        <v>74.7</v>
      </c>
      <c r="G15" s="244">
        <v>0</v>
      </c>
      <c r="H15" s="244">
        <v>0</v>
      </c>
      <c r="I15" s="244">
        <v>0</v>
      </c>
      <c r="J15" s="244">
        <v>0</v>
      </c>
      <c r="K15" s="21">
        <f t="shared" si="1"/>
        <v>74.7</v>
      </c>
      <c r="L15" s="22">
        <v>72.8</v>
      </c>
      <c r="M15" s="21">
        <f t="shared" si="2"/>
        <v>72.8</v>
      </c>
      <c r="N15" s="22">
        <v>46.1</v>
      </c>
      <c r="O15" s="22">
        <v>38.6</v>
      </c>
      <c r="P15" s="22">
        <v>7.1</v>
      </c>
      <c r="Q15" s="23">
        <v>6127</v>
      </c>
    </row>
    <row r="16" spans="1:17" ht="12.75" customHeight="1">
      <c r="A16" s="58">
        <v>1938</v>
      </c>
      <c r="B16" s="22">
        <v>64.3</v>
      </c>
      <c r="C16" s="22">
        <f t="shared" si="0"/>
        <v>2.9000000000000004</v>
      </c>
      <c r="D16" s="22">
        <v>2.7</v>
      </c>
      <c r="E16" s="22">
        <v>0.2</v>
      </c>
      <c r="F16" s="244">
        <v>69.099999999999994</v>
      </c>
      <c r="G16" s="244">
        <v>0</v>
      </c>
      <c r="H16" s="244">
        <v>0</v>
      </c>
      <c r="I16" s="244">
        <v>0</v>
      </c>
      <c r="J16" s="244">
        <v>0</v>
      </c>
      <c r="K16" s="21">
        <f t="shared" si="1"/>
        <v>69.099999999999994</v>
      </c>
      <c r="L16" s="22">
        <v>67.2</v>
      </c>
      <c r="M16" s="21">
        <f t="shared" si="2"/>
        <v>67.2</v>
      </c>
      <c r="N16" s="22">
        <v>43</v>
      </c>
      <c r="O16" s="22">
        <v>34.799999999999997</v>
      </c>
      <c r="P16" s="22">
        <v>5</v>
      </c>
      <c r="Q16" s="23">
        <v>3574</v>
      </c>
    </row>
    <row r="17" spans="1:17" ht="12.75" customHeight="1">
      <c r="A17" s="58">
        <v>1939</v>
      </c>
      <c r="B17" s="22">
        <v>67.2</v>
      </c>
      <c r="C17" s="22">
        <f t="shared" si="0"/>
        <v>3</v>
      </c>
      <c r="D17" s="22">
        <v>2.8</v>
      </c>
      <c r="E17" s="22">
        <v>0.2</v>
      </c>
      <c r="F17" s="244">
        <v>73.599999999999994</v>
      </c>
      <c r="G17" s="244">
        <v>0</v>
      </c>
      <c r="H17" s="244">
        <v>0</v>
      </c>
      <c r="I17" s="244">
        <v>0</v>
      </c>
      <c r="J17" s="244">
        <v>0</v>
      </c>
      <c r="K17" s="21">
        <f t="shared" si="1"/>
        <v>73.599999999999994</v>
      </c>
      <c r="L17" s="22">
        <v>72.099999999999994</v>
      </c>
      <c r="M17" s="21">
        <f t="shared" si="2"/>
        <v>72.099999999999994</v>
      </c>
      <c r="N17" s="22">
        <v>46</v>
      </c>
      <c r="O17" s="22">
        <v>37.700000000000003</v>
      </c>
      <c r="P17" s="22">
        <v>6.6</v>
      </c>
      <c r="Q17" s="23">
        <v>6337</v>
      </c>
    </row>
    <row r="18" spans="1:17" ht="18" customHeight="1">
      <c r="A18" s="58">
        <v>1940</v>
      </c>
      <c r="B18" s="22">
        <v>71.3</v>
      </c>
      <c r="C18" s="22">
        <f t="shared" si="0"/>
        <v>3.3</v>
      </c>
      <c r="D18" s="22">
        <v>3</v>
      </c>
      <c r="E18" s="22">
        <v>0.3</v>
      </c>
      <c r="F18" s="244">
        <v>79.400000000000006</v>
      </c>
      <c r="G18" s="244">
        <v>0</v>
      </c>
      <c r="H18" s="244">
        <v>0</v>
      </c>
      <c r="I18" s="244">
        <v>0</v>
      </c>
      <c r="J18" s="244">
        <v>0</v>
      </c>
      <c r="K18" s="21">
        <f t="shared" si="1"/>
        <v>79.400000000000006</v>
      </c>
      <c r="L18" s="22">
        <v>77.7</v>
      </c>
      <c r="M18" s="21">
        <f t="shared" si="2"/>
        <v>77.7</v>
      </c>
      <c r="N18" s="22">
        <v>49.9</v>
      </c>
      <c r="O18" s="22">
        <v>41.4</v>
      </c>
      <c r="P18" s="22">
        <v>9.9</v>
      </c>
      <c r="Q18" s="23">
        <v>7802</v>
      </c>
    </row>
    <row r="19" spans="1:17" ht="12.75" customHeight="1">
      <c r="A19" s="58">
        <v>1941</v>
      </c>
      <c r="B19" s="22">
        <v>81.099999999999994</v>
      </c>
      <c r="C19" s="22">
        <f t="shared" si="0"/>
        <v>3.5</v>
      </c>
      <c r="D19" s="22">
        <v>3.2</v>
      </c>
      <c r="E19" s="22">
        <v>0.3</v>
      </c>
      <c r="F19" s="244">
        <v>97.9</v>
      </c>
      <c r="G19" s="244">
        <v>0</v>
      </c>
      <c r="H19" s="244">
        <v>0</v>
      </c>
      <c r="I19" s="244">
        <v>0</v>
      </c>
      <c r="J19" s="244">
        <v>0</v>
      </c>
      <c r="K19" s="21">
        <f t="shared" si="1"/>
        <v>97.9</v>
      </c>
      <c r="L19" s="22">
        <v>95.6</v>
      </c>
      <c r="M19" s="21">
        <f t="shared" si="2"/>
        <v>95.6</v>
      </c>
      <c r="N19" s="22">
        <v>62.1</v>
      </c>
      <c r="O19" s="22">
        <v>51.9</v>
      </c>
      <c r="P19" s="22">
        <v>15.7</v>
      </c>
      <c r="Q19" s="23">
        <v>11152</v>
      </c>
    </row>
    <row r="20" spans="1:17" ht="12.75" customHeight="1">
      <c r="A20" s="58">
        <v>1942</v>
      </c>
      <c r="B20" s="22">
        <v>89</v>
      </c>
      <c r="C20" s="22">
        <f t="shared" si="0"/>
        <v>4</v>
      </c>
      <c r="D20" s="22">
        <v>3.6</v>
      </c>
      <c r="E20" s="22">
        <v>0.4</v>
      </c>
      <c r="F20" s="244">
        <v>126.7</v>
      </c>
      <c r="G20" s="244">
        <v>0</v>
      </c>
      <c r="H20" s="244">
        <v>0</v>
      </c>
      <c r="I20" s="244">
        <v>0</v>
      </c>
      <c r="J20" s="244">
        <v>0</v>
      </c>
      <c r="K20" s="21">
        <f t="shared" si="1"/>
        <v>126.7</v>
      </c>
      <c r="L20" s="22">
        <v>121.8</v>
      </c>
      <c r="M20" s="21">
        <f t="shared" si="2"/>
        <v>121.8</v>
      </c>
      <c r="N20" s="22">
        <v>82.1</v>
      </c>
      <c r="O20" s="22">
        <v>66.099999999999994</v>
      </c>
      <c r="P20" s="22">
        <v>20.8</v>
      </c>
      <c r="Q20" s="23">
        <v>11061</v>
      </c>
    </row>
    <row r="21" spans="1:17" ht="12.75" customHeight="1">
      <c r="A21" s="58">
        <v>1943</v>
      </c>
      <c r="B21" s="22">
        <v>99.9</v>
      </c>
      <c r="C21" s="22">
        <f t="shared" si="0"/>
        <v>4.5</v>
      </c>
      <c r="D21" s="22">
        <v>4</v>
      </c>
      <c r="E21" s="22">
        <v>0.5</v>
      </c>
      <c r="F21" s="244">
        <v>156.19999999999999</v>
      </c>
      <c r="G21" s="244">
        <v>0</v>
      </c>
      <c r="H21" s="244">
        <v>0</v>
      </c>
      <c r="I21" s="244">
        <v>0</v>
      </c>
      <c r="J21" s="244">
        <v>0</v>
      </c>
      <c r="K21" s="21">
        <f t="shared" si="1"/>
        <v>156.19999999999999</v>
      </c>
      <c r="L21" s="22">
        <v>139.4</v>
      </c>
      <c r="M21" s="21">
        <f t="shared" si="2"/>
        <v>139.4</v>
      </c>
      <c r="N21" s="22">
        <v>105.8</v>
      </c>
      <c r="O21" s="22">
        <v>79.2</v>
      </c>
      <c r="P21" s="22">
        <v>24.9</v>
      </c>
      <c r="Q21" s="23">
        <v>11772</v>
      </c>
    </row>
    <row r="22" spans="1:17" ht="12.75" customHeight="1">
      <c r="A22" s="58">
        <v>1944</v>
      </c>
      <c r="B22" s="22">
        <v>108.6</v>
      </c>
      <c r="C22" s="22">
        <f t="shared" si="0"/>
        <v>5</v>
      </c>
      <c r="D22" s="22">
        <v>4.5</v>
      </c>
      <c r="E22" s="22">
        <v>0.5</v>
      </c>
      <c r="F22" s="244">
        <v>169.7</v>
      </c>
      <c r="G22" s="244">
        <v>0</v>
      </c>
      <c r="H22" s="244">
        <v>0</v>
      </c>
      <c r="I22" s="244">
        <v>0</v>
      </c>
      <c r="J22" s="244">
        <v>0</v>
      </c>
      <c r="K22" s="21">
        <f t="shared" si="1"/>
        <v>169.7</v>
      </c>
      <c r="L22" s="22">
        <v>152</v>
      </c>
      <c r="M22" s="21">
        <f t="shared" si="2"/>
        <v>152</v>
      </c>
      <c r="N22" s="22">
        <v>116.7</v>
      </c>
      <c r="O22" s="22">
        <v>83.8</v>
      </c>
      <c r="P22" s="22">
        <v>25</v>
      </c>
      <c r="Q22" s="23">
        <v>11837</v>
      </c>
    </row>
    <row r="23" spans="1:17" ht="12.75" customHeight="1">
      <c r="A23" s="58">
        <v>1945</v>
      </c>
      <c r="B23" s="22">
        <v>120</v>
      </c>
      <c r="C23" s="22">
        <f t="shared" si="0"/>
        <v>5.3</v>
      </c>
      <c r="D23" s="22">
        <v>4.8</v>
      </c>
      <c r="E23" s="22">
        <v>0.5</v>
      </c>
      <c r="F23" s="244">
        <v>175.8</v>
      </c>
      <c r="G23" s="244">
        <v>0</v>
      </c>
      <c r="H23" s="244">
        <v>0</v>
      </c>
      <c r="I23" s="244">
        <v>0</v>
      </c>
      <c r="J23" s="244">
        <v>0</v>
      </c>
      <c r="K23" s="21">
        <f t="shared" si="1"/>
        <v>175.8</v>
      </c>
      <c r="L23" s="22">
        <v>156.30000000000001</v>
      </c>
      <c r="M23" s="21">
        <f t="shared" si="2"/>
        <v>156.30000000000001</v>
      </c>
      <c r="N23" s="22">
        <v>117.5</v>
      </c>
      <c r="O23" s="22">
        <v>82.6</v>
      </c>
      <c r="P23" s="22">
        <v>20.5</v>
      </c>
      <c r="Q23" s="23">
        <v>9704</v>
      </c>
    </row>
    <row r="24" spans="1:17" ht="12.75" customHeight="1">
      <c r="A24" s="58">
        <v>1946</v>
      </c>
      <c r="B24" s="22">
        <v>144.30000000000001</v>
      </c>
      <c r="C24" s="22">
        <f t="shared" si="0"/>
        <v>6.5</v>
      </c>
      <c r="D24" s="22">
        <v>5.9</v>
      </c>
      <c r="E24" s="22">
        <v>0.6</v>
      </c>
      <c r="F24" s="244">
        <v>182.7</v>
      </c>
      <c r="G24" s="244">
        <v>0</v>
      </c>
      <c r="H24" s="244">
        <v>0</v>
      </c>
      <c r="I24" s="244">
        <v>0</v>
      </c>
      <c r="J24" s="244">
        <v>0</v>
      </c>
      <c r="K24" s="21">
        <f t="shared" si="1"/>
        <v>182.7</v>
      </c>
      <c r="L24" s="22">
        <v>165.5</v>
      </c>
      <c r="M24" s="21">
        <f t="shared" si="2"/>
        <v>165.5</v>
      </c>
      <c r="N24" s="22">
        <v>112</v>
      </c>
      <c r="O24" s="22">
        <v>91.3</v>
      </c>
      <c r="P24" s="22">
        <v>18.2</v>
      </c>
      <c r="Q24" s="23">
        <v>16459</v>
      </c>
    </row>
    <row r="25" spans="1:17" ht="12.75" customHeight="1">
      <c r="A25" s="58">
        <v>1947</v>
      </c>
      <c r="B25" s="22">
        <v>162</v>
      </c>
      <c r="C25" s="22">
        <f t="shared" si="0"/>
        <v>7.3</v>
      </c>
      <c r="D25" s="22">
        <v>6.6</v>
      </c>
      <c r="E25" s="22">
        <v>0.7</v>
      </c>
      <c r="F25" s="244">
        <v>194.6</v>
      </c>
      <c r="G25" s="244">
        <v>0</v>
      </c>
      <c r="H25" s="244">
        <v>0</v>
      </c>
      <c r="I25" s="244">
        <v>0</v>
      </c>
      <c r="J25" s="244">
        <v>0</v>
      </c>
      <c r="K25" s="21">
        <f t="shared" si="1"/>
        <v>194.6</v>
      </c>
      <c r="L25" s="22">
        <v>174.8</v>
      </c>
      <c r="M25" s="21">
        <f t="shared" si="2"/>
        <v>174.8</v>
      </c>
      <c r="N25" s="22">
        <v>123.1</v>
      </c>
      <c r="O25" s="22">
        <v>105.6</v>
      </c>
      <c r="P25" s="22">
        <v>24.2</v>
      </c>
      <c r="Q25" s="23">
        <v>21368</v>
      </c>
    </row>
    <row r="26" spans="1:17" ht="12.75" customHeight="1">
      <c r="A26" s="58">
        <v>1948</v>
      </c>
      <c r="B26" s="22">
        <v>175</v>
      </c>
      <c r="C26" s="22">
        <f t="shared" si="0"/>
        <v>8.4</v>
      </c>
      <c r="D26" s="22">
        <v>7.6</v>
      </c>
      <c r="E26" s="22">
        <v>0.8</v>
      </c>
      <c r="F26" s="244">
        <v>213.7</v>
      </c>
      <c r="G26" s="244">
        <v>0</v>
      </c>
      <c r="H26" s="244">
        <v>0</v>
      </c>
      <c r="I26" s="244">
        <v>0</v>
      </c>
      <c r="J26" s="244">
        <v>0</v>
      </c>
      <c r="K26" s="21">
        <f t="shared" si="1"/>
        <v>213.7</v>
      </c>
      <c r="L26" s="22">
        <v>194.5</v>
      </c>
      <c r="M26" s="21">
        <f t="shared" si="2"/>
        <v>194.5</v>
      </c>
      <c r="N26" s="22">
        <v>135.6</v>
      </c>
      <c r="O26" s="22">
        <v>116.5</v>
      </c>
      <c r="P26" s="22">
        <v>31.4</v>
      </c>
      <c r="Q26" s="23">
        <v>24081</v>
      </c>
    </row>
    <row r="27" spans="1:17" ht="12.75" customHeight="1">
      <c r="A27" s="58">
        <v>1949</v>
      </c>
      <c r="B27" s="22">
        <v>178.5</v>
      </c>
      <c r="C27" s="22">
        <f t="shared" si="0"/>
        <v>8.7000000000000011</v>
      </c>
      <c r="D27" s="22">
        <v>7.9</v>
      </c>
      <c r="E27" s="22">
        <v>0.8</v>
      </c>
      <c r="F27" s="244">
        <v>211.2</v>
      </c>
      <c r="G27" s="244">
        <v>0</v>
      </c>
      <c r="H27" s="244">
        <v>0</v>
      </c>
      <c r="I27" s="244">
        <v>0</v>
      </c>
      <c r="J27" s="244">
        <v>0</v>
      </c>
      <c r="K27" s="21">
        <f t="shared" si="1"/>
        <v>211.2</v>
      </c>
      <c r="L27" s="22">
        <v>194.5</v>
      </c>
      <c r="M27" s="21">
        <f t="shared" si="2"/>
        <v>194.5</v>
      </c>
      <c r="N27" s="22">
        <v>134.69999999999999</v>
      </c>
      <c r="O27" s="22">
        <v>113.9</v>
      </c>
      <c r="P27" s="22">
        <v>29.1</v>
      </c>
      <c r="Q27" s="23">
        <v>19839</v>
      </c>
    </row>
    <row r="28" spans="1:17" ht="18" customHeight="1">
      <c r="A28" s="58">
        <v>1950</v>
      </c>
      <c r="B28" s="22">
        <v>192.2</v>
      </c>
      <c r="C28" s="22">
        <f t="shared" si="0"/>
        <v>9.3000000000000007</v>
      </c>
      <c r="D28" s="22">
        <v>8.5</v>
      </c>
      <c r="E28" s="22">
        <v>0.8</v>
      </c>
      <c r="F28" s="244">
        <v>233.9</v>
      </c>
      <c r="G28" s="244">
        <v>0</v>
      </c>
      <c r="H28" s="244">
        <v>0</v>
      </c>
      <c r="I28" s="244">
        <v>0</v>
      </c>
      <c r="J28" s="244">
        <v>0</v>
      </c>
      <c r="K28" s="21">
        <f t="shared" si="1"/>
        <v>233.9</v>
      </c>
      <c r="L28" s="22">
        <v>215</v>
      </c>
      <c r="M28" s="21">
        <f t="shared" si="2"/>
        <v>215</v>
      </c>
      <c r="N28" s="22">
        <v>147.30000000000001</v>
      </c>
      <c r="O28" s="22">
        <v>124.6</v>
      </c>
      <c r="P28" s="22">
        <v>36.1</v>
      </c>
      <c r="Q28" s="23">
        <v>25856</v>
      </c>
    </row>
    <row r="29" spans="1:17" ht="12.75" customHeight="1">
      <c r="A29" s="58">
        <v>1951</v>
      </c>
      <c r="B29" s="22">
        <v>208.5</v>
      </c>
      <c r="C29" s="22">
        <f t="shared" si="0"/>
        <v>10.200000000000001</v>
      </c>
      <c r="D29" s="22">
        <v>9.3000000000000007</v>
      </c>
      <c r="E29" s="22">
        <v>0.9</v>
      </c>
      <c r="F29" s="244">
        <v>264.5</v>
      </c>
      <c r="G29" s="244">
        <v>0</v>
      </c>
      <c r="H29" s="244">
        <v>0</v>
      </c>
      <c r="I29" s="244">
        <v>0</v>
      </c>
      <c r="J29" s="244">
        <v>0</v>
      </c>
      <c r="K29" s="21">
        <f t="shared" si="1"/>
        <v>264.5</v>
      </c>
      <c r="L29" s="22">
        <v>237.4</v>
      </c>
      <c r="M29" s="21">
        <f t="shared" si="2"/>
        <v>237.4</v>
      </c>
      <c r="N29" s="22">
        <v>171.6</v>
      </c>
      <c r="O29" s="22">
        <v>142.4</v>
      </c>
      <c r="P29" s="22">
        <v>41.2</v>
      </c>
      <c r="Q29" s="23">
        <v>22821</v>
      </c>
    </row>
    <row r="30" spans="1:17" ht="12.75" customHeight="1">
      <c r="A30" s="58">
        <v>1952</v>
      </c>
      <c r="B30" s="22">
        <v>219.5</v>
      </c>
      <c r="C30" s="22">
        <f t="shared" si="0"/>
        <v>11.1</v>
      </c>
      <c r="D30" s="22">
        <v>10.1</v>
      </c>
      <c r="E30" s="22">
        <v>1</v>
      </c>
      <c r="F30" s="244">
        <v>282.7</v>
      </c>
      <c r="G30" s="244">
        <v>0</v>
      </c>
      <c r="H30" s="244">
        <v>0</v>
      </c>
      <c r="I30" s="244">
        <v>0</v>
      </c>
      <c r="J30" s="244">
        <v>0</v>
      </c>
      <c r="K30" s="21">
        <f t="shared" si="1"/>
        <v>282.7</v>
      </c>
      <c r="L30" s="22">
        <v>250.7</v>
      </c>
      <c r="M30" s="21">
        <f t="shared" si="2"/>
        <v>250.7</v>
      </c>
      <c r="N30" s="22">
        <v>185.6</v>
      </c>
      <c r="O30" s="22">
        <v>152.30000000000001</v>
      </c>
      <c r="P30" s="22">
        <v>39.700000000000003</v>
      </c>
      <c r="Q30" s="23">
        <v>21883</v>
      </c>
    </row>
    <row r="31" spans="1:17" ht="12.75" customHeight="1">
      <c r="A31" s="58">
        <v>1953</v>
      </c>
      <c r="B31" s="22">
        <v>233</v>
      </c>
      <c r="C31" s="22">
        <f t="shared" si="0"/>
        <v>12.2</v>
      </c>
      <c r="D31" s="22">
        <v>11</v>
      </c>
      <c r="E31" s="22">
        <v>1.2</v>
      </c>
      <c r="F31" s="244">
        <v>299.60000000000002</v>
      </c>
      <c r="G31" s="244">
        <v>0</v>
      </c>
      <c r="H31" s="244">
        <v>0</v>
      </c>
      <c r="I31" s="244">
        <v>0</v>
      </c>
      <c r="J31" s="244">
        <v>0</v>
      </c>
      <c r="K31" s="21">
        <f t="shared" si="1"/>
        <v>299.60000000000002</v>
      </c>
      <c r="L31" s="22">
        <v>266.3</v>
      </c>
      <c r="M31" s="21">
        <f t="shared" si="2"/>
        <v>266.3</v>
      </c>
      <c r="N31" s="22">
        <v>199</v>
      </c>
      <c r="O31" s="22">
        <v>164.7</v>
      </c>
      <c r="P31" s="22">
        <v>40.299999999999997</v>
      </c>
      <c r="Q31" s="23">
        <v>22862</v>
      </c>
    </row>
    <row r="32" spans="1:17" ht="12.75" customHeight="1">
      <c r="A32" s="58">
        <v>1954</v>
      </c>
      <c r="B32" s="22">
        <v>239.9</v>
      </c>
      <c r="C32" s="22">
        <f t="shared" si="0"/>
        <v>13.200000000000001</v>
      </c>
      <c r="D32" s="22">
        <v>11.9</v>
      </c>
      <c r="E32" s="22">
        <v>1.3</v>
      </c>
      <c r="F32" s="244">
        <v>302.60000000000002</v>
      </c>
      <c r="G32" s="244">
        <v>0</v>
      </c>
      <c r="H32" s="244">
        <v>0</v>
      </c>
      <c r="I32" s="244">
        <v>0</v>
      </c>
      <c r="J32" s="244">
        <v>0</v>
      </c>
      <c r="K32" s="21">
        <f t="shared" si="1"/>
        <v>302.60000000000002</v>
      </c>
      <c r="L32" s="22">
        <v>272.39999999999998</v>
      </c>
      <c r="M32" s="21">
        <f t="shared" si="2"/>
        <v>272.39999999999998</v>
      </c>
      <c r="N32" s="22">
        <v>197.3</v>
      </c>
      <c r="O32" s="22">
        <v>162.4</v>
      </c>
      <c r="P32" s="22">
        <v>39.5</v>
      </c>
      <c r="Q32" s="23">
        <v>23169</v>
      </c>
    </row>
    <row r="33" spans="1:17" ht="12.75" customHeight="1">
      <c r="A33" s="58">
        <v>1955</v>
      </c>
      <c r="B33" s="22">
        <v>258.7</v>
      </c>
      <c r="C33" s="22">
        <f t="shared" si="0"/>
        <v>14.200000000000001</v>
      </c>
      <c r="D33" s="22">
        <v>12.8</v>
      </c>
      <c r="E33" s="22">
        <v>1.4</v>
      </c>
      <c r="F33" s="244">
        <v>324.60000000000002</v>
      </c>
      <c r="G33" s="244">
        <v>0</v>
      </c>
      <c r="H33" s="244">
        <v>0</v>
      </c>
      <c r="I33" s="244">
        <v>0</v>
      </c>
      <c r="J33" s="244">
        <v>0</v>
      </c>
      <c r="K33" s="21">
        <f t="shared" si="1"/>
        <v>324.60000000000002</v>
      </c>
      <c r="L33" s="22">
        <v>291.7</v>
      </c>
      <c r="M33" s="21">
        <f t="shared" si="2"/>
        <v>291.7</v>
      </c>
      <c r="N33" s="22">
        <v>212.2</v>
      </c>
      <c r="O33" s="22">
        <v>175.6</v>
      </c>
      <c r="P33" s="22">
        <v>50.2</v>
      </c>
      <c r="Q33" s="23">
        <v>29400</v>
      </c>
    </row>
    <row r="34" spans="1:17" ht="12.75" customHeight="1">
      <c r="A34" s="58">
        <v>1956</v>
      </c>
      <c r="B34" s="22">
        <v>271.60000000000002</v>
      </c>
      <c r="C34" s="22">
        <f t="shared" si="0"/>
        <v>15.4</v>
      </c>
      <c r="D34" s="22">
        <v>14.1</v>
      </c>
      <c r="E34" s="22">
        <v>1.3</v>
      </c>
      <c r="F34" s="244">
        <v>348.4</v>
      </c>
      <c r="G34" s="244">
        <v>0</v>
      </c>
      <c r="H34" s="244">
        <v>0</v>
      </c>
      <c r="I34" s="244">
        <v>0</v>
      </c>
      <c r="J34" s="244">
        <v>0</v>
      </c>
      <c r="K34" s="21">
        <f t="shared" si="1"/>
        <v>348.4</v>
      </c>
      <c r="L34" s="22">
        <v>311.8</v>
      </c>
      <c r="M34" s="21">
        <f t="shared" si="2"/>
        <v>311.8</v>
      </c>
      <c r="N34" s="22">
        <v>229</v>
      </c>
      <c r="O34" s="22">
        <v>190.2</v>
      </c>
      <c r="P34" s="22">
        <v>49.6</v>
      </c>
      <c r="Q34" s="23">
        <v>30632</v>
      </c>
    </row>
    <row r="35" spans="1:17" ht="12.75" customHeight="1">
      <c r="A35" s="58">
        <v>1957</v>
      </c>
      <c r="B35" s="22">
        <v>286.7</v>
      </c>
      <c r="C35" s="22">
        <f t="shared" si="0"/>
        <v>17</v>
      </c>
      <c r="D35" s="22">
        <v>15.5</v>
      </c>
      <c r="E35" s="22">
        <v>1.5</v>
      </c>
      <c r="F35" s="244">
        <v>368.5</v>
      </c>
      <c r="G35" s="244">
        <v>0</v>
      </c>
      <c r="H35" s="244">
        <v>0</v>
      </c>
      <c r="I35" s="244">
        <v>0</v>
      </c>
      <c r="J35" s="244">
        <v>0</v>
      </c>
      <c r="K35" s="21">
        <f t="shared" si="1"/>
        <v>368.5</v>
      </c>
      <c r="L35" s="22">
        <v>329.6</v>
      </c>
      <c r="M35" s="21">
        <f t="shared" si="2"/>
        <v>329.6</v>
      </c>
      <c r="N35" s="22">
        <v>240</v>
      </c>
      <c r="O35" s="22">
        <v>198.9</v>
      </c>
      <c r="P35" s="22">
        <v>49.1</v>
      </c>
      <c r="Q35" s="23">
        <v>29771</v>
      </c>
    </row>
    <row r="36" spans="1:17" ht="12.75" customHeight="1">
      <c r="A36" s="58">
        <v>1958</v>
      </c>
      <c r="B36" s="22">
        <v>296</v>
      </c>
      <c r="C36" s="22">
        <f t="shared" si="0"/>
        <v>18.600000000000001</v>
      </c>
      <c r="D36" s="22">
        <v>17.100000000000001</v>
      </c>
      <c r="E36" s="22">
        <v>1.5</v>
      </c>
      <c r="F36" s="244">
        <v>379.5</v>
      </c>
      <c r="G36" s="244">
        <v>0</v>
      </c>
      <c r="H36" s="244">
        <v>0</v>
      </c>
      <c r="I36" s="244">
        <v>0</v>
      </c>
      <c r="J36" s="244">
        <v>0</v>
      </c>
      <c r="K36" s="21">
        <f t="shared" si="1"/>
        <v>379.5</v>
      </c>
      <c r="L36" s="22">
        <v>340.9</v>
      </c>
      <c r="M36" s="21">
        <f t="shared" si="2"/>
        <v>340.9</v>
      </c>
      <c r="N36" s="22">
        <v>241.3</v>
      </c>
      <c r="O36" s="22">
        <v>197.2</v>
      </c>
      <c r="P36" s="22">
        <v>43.9</v>
      </c>
      <c r="Q36" s="23">
        <v>26066</v>
      </c>
    </row>
    <row r="37" spans="1:17" ht="12.75" customHeight="1">
      <c r="A37" s="58">
        <v>1959</v>
      </c>
      <c r="B37" s="22">
        <v>317.5</v>
      </c>
      <c r="C37" s="22">
        <f t="shared" si="0"/>
        <v>20.5</v>
      </c>
      <c r="D37" s="22">
        <v>18.8</v>
      </c>
      <c r="E37" s="22">
        <v>1.7</v>
      </c>
      <c r="F37" s="244">
        <v>403.2</v>
      </c>
      <c r="G37" s="244">
        <v>0</v>
      </c>
      <c r="H37" s="244">
        <v>0</v>
      </c>
      <c r="I37" s="244">
        <v>0</v>
      </c>
      <c r="J37" s="244">
        <v>0</v>
      </c>
      <c r="K37" s="21">
        <f t="shared" si="1"/>
        <v>403.2</v>
      </c>
      <c r="L37" s="22">
        <v>360.9</v>
      </c>
      <c r="M37" s="21">
        <f t="shared" si="2"/>
        <v>360.9</v>
      </c>
      <c r="N37" s="22">
        <v>259.8</v>
      </c>
      <c r="O37" s="22">
        <v>213.8</v>
      </c>
      <c r="P37" s="22">
        <v>55.5</v>
      </c>
      <c r="Q37" s="23">
        <v>32227</v>
      </c>
    </row>
    <row r="38" spans="1:17" ht="18" customHeight="1">
      <c r="A38" s="58">
        <v>1960</v>
      </c>
      <c r="B38" s="22">
        <v>331.6</v>
      </c>
      <c r="C38" s="22">
        <f t="shared" si="0"/>
        <v>22.2</v>
      </c>
      <c r="D38" s="22">
        <v>20.399999999999999</v>
      </c>
      <c r="E38" s="22">
        <v>1.8</v>
      </c>
      <c r="F38" s="244">
        <v>422.5</v>
      </c>
      <c r="G38" s="244">
        <v>0</v>
      </c>
      <c r="H38" s="244">
        <v>0</v>
      </c>
      <c r="I38" s="244">
        <v>0</v>
      </c>
      <c r="J38" s="244">
        <v>0</v>
      </c>
      <c r="K38" s="21">
        <f t="shared" si="1"/>
        <v>422.5</v>
      </c>
      <c r="L38" s="22">
        <v>376.5</v>
      </c>
      <c r="M38" s="21">
        <f t="shared" si="2"/>
        <v>376.5</v>
      </c>
      <c r="N38" s="22">
        <v>272.89999999999998</v>
      </c>
      <c r="O38" s="22">
        <v>223.7</v>
      </c>
      <c r="P38" s="22">
        <v>54.7</v>
      </c>
      <c r="Q38" s="23">
        <v>31071</v>
      </c>
    </row>
    <row r="39" spans="1:17" ht="12.75" customHeight="1">
      <c r="A39" s="58">
        <v>1961</v>
      </c>
      <c r="B39" s="22">
        <v>342</v>
      </c>
      <c r="C39" s="22">
        <f t="shared" si="0"/>
        <v>23.8</v>
      </c>
      <c r="D39" s="22">
        <v>21.8</v>
      </c>
      <c r="E39" s="22">
        <v>2</v>
      </c>
      <c r="F39" s="244">
        <v>441.1</v>
      </c>
      <c r="G39" s="244">
        <v>0</v>
      </c>
      <c r="H39" s="244">
        <v>0</v>
      </c>
      <c r="I39" s="244">
        <v>0</v>
      </c>
      <c r="J39" s="244">
        <v>0</v>
      </c>
      <c r="K39" s="21">
        <f t="shared" si="1"/>
        <v>441.1</v>
      </c>
      <c r="L39" s="22">
        <v>393.8</v>
      </c>
      <c r="M39" s="21">
        <f t="shared" si="2"/>
        <v>393.8</v>
      </c>
      <c r="N39" s="22">
        <v>280.5</v>
      </c>
      <c r="O39" s="22">
        <v>228</v>
      </c>
      <c r="P39" s="22">
        <v>55.9</v>
      </c>
      <c r="Q39" s="23">
        <v>31014</v>
      </c>
    </row>
    <row r="40" spans="1:17" ht="12.75" customHeight="1">
      <c r="A40" s="58">
        <v>1962</v>
      </c>
      <c r="B40" s="22">
        <v>363.1</v>
      </c>
      <c r="C40" s="22">
        <f t="shared" si="0"/>
        <v>26.400000000000002</v>
      </c>
      <c r="D40" s="22">
        <v>24.3</v>
      </c>
      <c r="E40" s="22">
        <v>2.1</v>
      </c>
      <c r="F40" s="244">
        <v>469.1</v>
      </c>
      <c r="G40" s="244">
        <v>0</v>
      </c>
      <c r="H40" s="244">
        <v>0</v>
      </c>
      <c r="I40" s="244">
        <v>0</v>
      </c>
      <c r="J40" s="244">
        <v>0</v>
      </c>
      <c r="K40" s="21">
        <f t="shared" si="1"/>
        <v>469.1</v>
      </c>
      <c r="L40" s="22">
        <v>417.5</v>
      </c>
      <c r="M40" s="21">
        <f t="shared" si="2"/>
        <v>417.5</v>
      </c>
      <c r="N40" s="22">
        <v>299.39999999999998</v>
      </c>
      <c r="O40" s="22">
        <v>243</v>
      </c>
      <c r="P40" s="22">
        <v>64</v>
      </c>
      <c r="Q40" s="23">
        <v>35109</v>
      </c>
    </row>
    <row r="41" spans="1:17" ht="12.75" customHeight="1">
      <c r="A41" s="58">
        <v>1963</v>
      </c>
      <c r="B41" s="22">
        <v>382.5</v>
      </c>
      <c r="C41" s="22">
        <f t="shared" si="0"/>
        <v>28.599999999999998</v>
      </c>
      <c r="D41" s="22">
        <v>26.4</v>
      </c>
      <c r="E41" s="22">
        <v>2.2000000000000002</v>
      </c>
      <c r="F41" s="244">
        <v>492.8</v>
      </c>
      <c r="G41" s="244">
        <v>0</v>
      </c>
      <c r="H41" s="244">
        <v>0</v>
      </c>
      <c r="I41" s="244">
        <v>0</v>
      </c>
      <c r="J41" s="244">
        <v>0</v>
      </c>
      <c r="K41" s="21">
        <f t="shared" si="1"/>
        <v>492.8</v>
      </c>
      <c r="L41" s="22">
        <v>438.3</v>
      </c>
      <c r="M41" s="21">
        <f t="shared" si="2"/>
        <v>438.3</v>
      </c>
      <c r="N41" s="22">
        <v>314.89999999999998</v>
      </c>
      <c r="O41" s="22">
        <v>254.8</v>
      </c>
      <c r="P41" s="22">
        <v>70.5</v>
      </c>
      <c r="Q41" s="23">
        <v>38045</v>
      </c>
    </row>
    <row r="42" spans="1:17" ht="12.75" customHeight="1">
      <c r="A42" s="58">
        <v>1964</v>
      </c>
      <c r="B42" s="22">
        <v>411.2</v>
      </c>
      <c r="C42" s="22">
        <f t="shared" si="0"/>
        <v>32.200000000000003</v>
      </c>
      <c r="D42" s="22">
        <v>29.8</v>
      </c>
      <c r="E42" s="22">
        <v>2.4</v>
      </c>
      <c r="F42" s="244">
        <v>528.4</v>
      </c>
      <c r="G42" s="244">
        <v>0</v>
      </c>
      <c r="H42" s="244">
        <v>0</v>
      </c>
      <c r="I42" s="244">
        <v>0</v>
      </c>
      <c r="J42" s="244">
        <v>0</v>
      </c>
      <c r="K42" s="21">
        <f t="shared" si="1"/>
        <v>528.4</v>
      </c>
      <c r="L42" s="22">
        <v>476.3</v>
      </c>
      <c r="M42" s="21">
        <f t="shared" si="2"/>
        <v>476.3</v>
      </c>
      <c r="N42" s="22">
        <v>337.8</v>
      </c>
      <c r="O42" s="22">
        <v>272.89999999999998</v>
      </c>
      <c r="P42" s="22">
        <v>77.7</v>
      </c>
      <c r="Q42" s="23">
        <v>43291</v>
      </c>
    </row>
    <row r="43" spans="1:17" ht="12.75" customHeight="1">
      <c r="A43" s="58">
        <v>1965</v>
      </c>
      <c r="B43" s="22">
        <v>443.6</v>
      </c>
      <c r="C43" s="22">
        <f t="shared" si="0"/>
        <v>34.6</v>
      </c>
      <c r="D43" s="22">
        <v>32</v>
      </c>
      <c r="E43" s="22">
        <v>2.6</v>
      </c>
      <c r="F43" s="244">
        <v>570.79999999999995</v>
      </c>
      <c r="G43" s="244">
        <v>0</v>
      </c>
      <c r="H43" s="244">
        <v>0</v>
      </c>
      <c r="I43" s="244">
        <v>0</v>
      </c>
      <c r="J43" s="244">
        <v>0</v>
      </c>
      <c r="K43" s="21">
        <f t="shared" si="1"/>
        <v>570.79999999999995</v>
      </c>
      <c r="L43" s="22">
        <v>513.20000000000005</v>
      </c>
      <c r="M43" s="21">
        <f t="shared" si="2"/>
        <v>513.20000000000005</v>
      </c>
      <c r="N43" s="22">
        <v>363.8</v>
      </c>
      <c r="O43" s="22">
        <v>293.8</v>
      </c>
      <c r="P43" s="22">
        <v>89.3</v>
      </c>
      <c r="Q43" s="23">
        <v>52045</v>
      </c>
    </row>
    <row r="44" spans="1:17" ht="12.75" customHeight="1">
      <c r="A44" s="58">
        <v>1966</v>
      </c>
      <c r="B44" s="22">
        <v>480.6</v>
      </c>
      <c r="C44" s="22">
        <f t="shared" si="0"/>
        <v>37.9</v>
      </c>
      <c r="D44" s="22">
        <v>35</v>
      </c>
      <c r="E44" s="22">
        <v>2.9</v>
      </c>
      <c r="F44" s="244">
        <v>620.6</v>
      </c>
      <c r="G44" s="328">
        <f t="shared" ref="G44:G64" si="3">G45*F170/F171</f>
        <v>1.0508683573264397</v>
      </c>
      <c r="H44" s="328">
        <f>J170</f>
        <v>0.27761194029850744</v>
      </c>
      <c r="I44" s="244">
        <v>1</v>
      </c>
      <c r="J44" s="22">
        <v>1.9</v>
      </c>
      <c r="K44" s="21">
        <f t="shared" si="1"/>
        <v>619.02848029762492</v>
      </c>
      <c r="L44" s="22">
        <v>554.20000000000005</v>
      </c>
      <c r="M44" s="21">
        <f t="shared" si="2"/>
        <v>552.62848029762495</v>
      </c>
      <c r="N44" s="22">
        <v>400.3</v>
      </c>
      <c r="O44" s="22">
        <v>321.89999999999998</v>
      </c>
      <c r="P44" s="22">
        <v>96.1</v>
      </c>
      <c r="Q44" s="23">
        <v>56503</v>
      </c>
    </row>
    <row r="45" spans="1:17" ht="12.75" customHeight="1">
      <c r="A45" s="58">
        <v>1967</v>
      </c>
      <c r="B45" s="22">
        <v>507.4</v>
      </c>
      <c r="C45" s="22">
        <f t="shared" si="0"/>
        <v>41.3</v>
      </c>
      <c r="D45" s="22">
        <v>38.4</v>
      </c>
      <c r="E45" s="22">
        <v>2.9</v>
      </c>
      <c r="F45" s="244">
        <v>665.7</v>
      </c>
      <c r="G45" s="328">
        <f t="shared" si="3"/>
        <v>1.6400113135552516</v>
      </c>
      <c r="H45" s="328">
        <f t="shared" ref="H45:H64" si="4">J171</f>
        <v>0.55522388059701488</v>
      </c>
      <c r="I45" s="244">
        <v>4.7</v>
      </c>
      <c r="J45" s="22">
        <v>2.7</v>
      </c>
      <c r="K45" s="21">
        <f t="shared" si="1"/>
        <v>660.49523519415231</v>
      </c>
      <c r="L45" s="22">
        <v>592.79999999999995</v>
      </c>
      <c r="M45" s="21">
        <f t="shared" si="2"/>
        <v>587.59523519415222</v>
      </c>
      <c r="N45" s="22">
        <v>429</v>
      </c>
      <c r="O45" s="22">
        <v>342.5</v>
      </c>
      <c r="P45" s="22">
        <v>93.9</v>
      </c>
      <c r="Q45" s="23">
        <v>54705</v>
      </c>
    </row>
    <row r="46" spans="1:17" ht="12.75" customHeight="1">
      <c r="A46" s="58">
        <v>1968</v>
      </c>
      <c r="B46" s="22">
        <v>557.4</v>
      </c>
      <c r="C46" s="22">
        <f t="shared" si="0"/>
        <v>47.599999999999994</v>
      </c>
      <c r="D46" s="22">
        <v>43.8</v>
      </c>
      <c r="E46" s="22">
        <v>3.8</v>
      </c>
      <c r="F46" s="244">
        <v>730.7</v>
      </c>
      <c r="G46" s="328">
        <f t="shared" si="3"/>
        <v>2.2339669098166222</v>
      </c>
      <c r="H46" s="328">
        <f t="shared" si="4"/>
        <v>0.74029850746268655</v>
      </c>
      <c r="I46" s="244">
        <v>5.9</v>
      </c>
      <c r="J46" s="22">
        <v>4</v>
      </c>
      <c r="K46" s="21">
        <f t="shared" si="1"/>
        <v>723.77426541727948</v>
      </c>
      <c r="L46" s="22">
        <v>643.79999999999995</v>
      </c>
      <c r="M46" s="21">
        <f t="shared" si="2"/>
        <v>636.87426541727939</v>
      </c>
      <c r="N46" s="22">
        <v>472</v>
      </c>
      <c r="O46" s="22">
        <v>375.3</v>
      </c>
      <c r="P46" s="22">
        <v>101.7</v>
      </c>
      <c r="Q46" s="23">
        <v>58278</v>
      </c>
    </row>
    <row r="47" spans="1:17" ht="12.75" customHeight="1">
      <c r="A47" s="58">
        <v>1969</v>
      </c>
      <c r="B47" s="22">
        <v>604.5</v>
      </c>
      <c r="C47" s="22">
        <f t="shared" si="0"/>
        <v>54.1</v>
      </c>
      <c r="D47" s="22">
        <v>50</v>
      </c>
      <c r="E47" s="22">
        <v>4.0999999999999996</v>
      </c>
      <c r="F47" s="244">
        <v>800.3</v>
      </c>
      <c r="G47" s="328">
        <f t="shared" si="3"/>
        <v>2.3348046906990754</v>
      </c>
      <c r="H47" s="328">
        <f t="shared" si="4"/>
        <v>0.83283582089552233</v>
      </c>
      <c r="I47" s="244">
        <v>6.7</v>
      </c>
      <c r="J47" s="22">
        <v>4.5999999999999996</v>
      </c>
      <c r="K47" s="21">
        <f t="shared" si="1"/>
        <v>792.16764051159453</v>
      </c>
      <c r="L47" s="22">
        <v>695.8</v>
      </c>
      <c r="M47" s="21">
        <f t="shared" si="2"/>
        <v>687.66764051159453</v>
      </c>
      <c r="N47" s="22">
        <v>518.29999999999995</v>
      </c>
      <c r="O47" s="22">
        <v>412.7</v>
      </c>
      <c r="P47" s="22">
        <v>98.4</v>
      </c>
      <c r="Q47" s="23">
        <v>56675</v>
      </c>
    </row>
    <row r="48" spans="1:17" ht="18" customHeight="1">
      <c r="A48" s="58">
        <v>1970</v>
      </c>
      <c r="B48" s="22">
        <v>647.70000000000005</v>
      </c>
      <c r="C48" s="22">
        <f t="shared" si="0"/>
        <v>61.199999999999996</v>
      </c>
      <c r="D48" s="22">
        <v>56.8</v>
      </c>
      <c r="E48" s="22">
        <v>4.4000000000000004</v>
      </c>
      <c r="F48" s="244">
        <v>864.6</v>
      </c>
      <c r="G48" s="328">
        <f t="shared" si="3"/>
        <v>2.4417045790892553</v>
      </c>
      <c r="H48" s="328">
        <f t="shared" si="4"/>
        <v>1.017910447761194</v>
      </c>
      <c r="I48" s="244">
        <v>7.3</v>
      </c>
      <c r="J48" s="22">
        <v>5.5</v>
      </c>
      <c r="K48" s="21">
        <f t="shared" si="1"/>
        <v>855.2596150268505</v>
      </c>
      <c r="L48" s="22">
        <v>761.5</v>
      </c>
      <c r="M48" s="21">
        <f t="shared" si="2"/>
        <v>752.15961502685047</v>
      </c>
      <c r="N48" s="22">
        <v>551.6</v>
      </c>
      <c r="O48" s="22">
        <v>434.3</v>
      </c>
      <c r="P48" s="22">
        <v>86.2</v>
      </c>
      <c r="Q48" s="23">
        <v>51506</v>
      </c>
    </row>
    <row r="49" spans="1:17" ht="12.75" customHeight="1">
      <c r="A49" s="58">
        <v>1971</v>
      </c>
      <c r="B49" s="22">
        <v>701</v>
      </c>
      <c r="C49" s="22">
        <f t="shared" si="0"/>
        <v>68.599999999999994</v>
      </c>
      <c r="D49" s="22">
        <v>63.4</v>
      </c>
      <c r="E49" s="22">
        <v>5.2</v>
      </c>
      <c r="F49" s="244">
        <v>932.1</v>
      </c>
      <c r="G49" s="328">
        <f t="shared" si="3"/>
        <v>2.4198869173221897</v>
      </c>
      <c r="H49" s="328">
        <f t="shared" si="4"/>
        <v>1.2029850746268655</v>
      </c>
      <c r="I49" s="244">
        <v>8</v>
      </c>
      <c r="J49" s="22">
        <v>6.7</v>
      </c>
      <c r="K49" s="21">
        <f t="shared" si="1"/>
        <v>921.02287199194905</v>
      </c>
      <c r="L49" s="22">
        <v>830.4</v>
      </c>
      <c r="M49" s="21">
        <f t="shared" si="2"/>
        <v>819.322871991949</v>
      </c>
      <c r="N49" s="22">
        <v>584.5</v>
      </c>
      <c r="O49" s="22">
        <v>457.8</v>
      </c>
      <c r="P49" s="22">
        <v>100.6</v>
      </c>
      <c r="Q49" s="23">
        <v>61106</v>
      </c>
    </row>
    <row r="50" spans="1:17" ht="12.75" customHeight="1">
      <c r="A50" s="58">
        <v>1972</v>
      </c>
      <c r="B50" s="22">
        <v>769.4</v>
      </c>
      <c r="C50" s="22">
        <f t="shared" si="0"/>
        <v>76.7</v>
      </c>
      <c r="D50" s="22">
        <v>70.400000000000006</v>
      </c>
      <c r="E50" s="22">
        <v>6.3</v>
      </c>
      <c r="F50" s="244">
        <v>1023.6</v>
      </c>
      <c r="G50" s="328">
        <f t="shared" si="3"/>
        <v>2.8334066098321289</v>
      </c>
      <c r="H50" s="328">
        <f t="shared" si="4"/>
        <v>1.2955223880597011</v>
      </c>
      <c r="I50" s="244">
        <v>8.8000000000000007</v>
      </c>
      <c r="J50" s="22">
        <v>8.1999999999999993</v>
      </c>
      <c r="K50" s="21">
        <f t="shared" si="1"/>
        <v>1010.7289289978919</v>
      </c>
      <c r="L50" s="22">
        <v>899.9</v>
      </c>
      <c r="M50" s="21">
        <f t="shared" si="2"/>
        <v>887.02892899789185</v>
      </c>
      <c r="N50" s="22">
        <v>638.79999999999995</v>
      </c>
      <c r="O50" s="22">
        <v>500.9</v>
      </c>
      <c r="P50" s="22">
        <v>117.2</v>
      </c>
      <c r="Q50" s="23">
        <v>73544</v>
      </c>
    </row>
    <row r="51" spans="1:17" ht="12.75" customHeight="1">
      <c r="A51" s="58">
        <v>1973</v>
      </c>
      <c r="B51" s="22">
        <v>851.1</v>
      </c>
      <c r="C51" s="22">
        <f t="shared" si="0"/>
        <v>85.4</v>
      </c>
      <c r="D51" s="22">
        <v>78.7</v>
      </c>
      <c r="E51" s="22">
        <v>6.7</v>
      </c>
      <c r="F51" s="244">
        <v>1138.5</v>
      </c>
      <c r="G51" s="328">
        <f t="shared" si="3"/>
        <v>5.4150947756599113</v>
      </c>
      <c r="H51" s="328">
        <f t="shared" si="4"/>
        <v>1.3880597014925369</v>
      </c>
      <c r="I51" s="244">
        <v>10.199999999999999</v>
      </c>
      <c r="J51" s="22">
        <v>9.6</v>
      </c>
      <c r="K51" s="21">
        <f t="shared" si="1"/>
        <v>1125.5031544771525</v>
      </c>
      <c r="L51" s="22">
        <v>1006.1</v>
      </c>
      <c r="M51" s="21">
        <f t="shared" si="2"/>
        <v>993.10315447715254</v>
      </c>
      <c r="N51" s="22">
        <v>708.8</v>
      </c>
      <c r="O51" s="22">
        <v>560</v>
      </c>
      <c r="P51" s="22">
        <v>133.4</v>
      </c>
      <c r="Q51" s="23">
        <v>96158</v>
      </c>
    </row>
    <row r="52" spans="1:17" ht="12.75" customHeight="1">
      <c r="A52" s="58">
        <v>1974</v>
      </c>
      <c r="B52" s="22">
        <v>932</v>
      </c>
      <c r="C52" s="22">
        <f t="shared" si="0"/>
        <v>95.600000000000009</v>
      </c>
      <c r="D52" s="22">
        <v>88.7</v>
      </c>
      <c r="E52" s="22">
        <v>6.9</v>
      </c>
      <c r="F52" s="244">
        <v>1249.3</v>
      </c>
      <c r="G52" s="328">
        <f t="shared" si="3"/>
        <v>5.5578272361264709</v>
      </c>
      <c r="H52" s="328">
        <f t="shared" si="4"/>
        <v>1.6656716417910444</v>
      </c>
      <c r="I52" s="244">
        <v>12.7</v>
      </c>
      <c r="J52" s="22">
        <v>11.2</v>
      </c>
      <c r="K52" s="21">
        <f t="shared" si="1"/>
        <v>1232.6234988779174</v>
      </c>
      <c r="L52" s="22">
        <v>1098.3</v>
      </c>
      <c r="M52" s="21">
        <f t="shared" si="2"/>
        <v>1081.6234988779174</v>
      </c>
      <c r="N52" s="22">
        <v>772.3</v>
      </c>
      <c r="O52" s="22">
        <v>611.79999999999995</v>
      </c>
      <c r="P52" s="22">
        <v>125.7</v>
      </c>
      <c r="Q52" s="23">
        <v>108742</v>
      </c>
    </row>
    <row r="53" spans="1:17" ht="12.75" customHeight="1">
      <c r="A53" s="58">
        <v>1975</v>
      </c>
      <c r="B53" s="22">
        <v>1032.8</v>
      </c>
      <c r="C53" s="22">
        <f t="shared" si="0"/>
        <v>110</v>
      </c>
      <c r="D53" s="22">
        <v>102.7</v>
      </c>
      <c r="E53" s="22">
        <v>7.3</v>
      </c>
      <c r="F53" s="244">
        <v>1366.9</v>
      </c>
      <c r="G53" s="328">
        <f t="shared" si="3"/>
        <v>5.8942924456358314</v>
      </c>
      <c r="H53" s="328">
        <f t="shared" si="4"/>
        <v>1.75820895522388</v>
      </c>
      <c r="I53" s="244">
        <v>15.6</v>
      </c>
      <c r="J53" s="22">
        <v>13.9</v>
      </c>
      <c r="K53" s="21">
        <f t="shared" si="1"/>
        <v>1345.0525014008597</v>
      </c>
      <c r="L53" s="22">
        <v>1219.3</v>
      </c>
      <c r="M53" s="21">
        <f t="shared" si="2"/>
        <v>1197.4525014008595</v>
      </c>
      <c r="N53" s="22">
        <v>814.8</v>
      </c>
      <c r="O53" s="22">
        <v>638.6</v>
      </c>
      <c r="P53" s="22">
        <v>138.9</v>
      </c>
      <c r="Q53" s="23">
        <v>103127</v>
      </c>
    </row>
    <row r="54" spans="1:17" ht="12.75" customHeight="1">
      <c r="A54" s="58">
        <v>1976</v>
      </c>
      <c r="B54" s="22">
        <v>1150.2</v>
      </c>
      <c r="C54" s="22">
        <f t="shared" si="0"/>
        <v>124.89999999999999</v>
      </c>
      <c r="D54" s="22">
        <v>116.8</v>
      </c>
      <c r="E54" s="22">
        <v>8.1</v>
      </c>
      <c r="F54" s="244">
        <v>1498.1</v>
      </c>
      <c r="G54" s="328">
        <f t="shared" si="3"/>
        <v>6.4852323701999497</v>
      </c>
      <c r="H54" s="328">
        <f t="shared" si="4"/>
        <v>1.8507462686567158</v>
      </c>
      <c r="I54" s="244">
        <v>18.8</v>
      </c>
      <c r="J54" s="22">
        <v>15.5</v>
      </c>
      <c r="K54" s="21">
        <f t="shared" si="1"/>
        <v>1472.1359786388566</v>
      </c>
      <c r="L54" s="22">
        <v>1325.8</v>
      </c>
      <c r="M54" s="21">
        <f t="shared" si="2"/>
        <v>1299.8359786388567</v>
      </c>
      <c r="N54" s="22">
        <v>899.7</v>
      </c>
      <c r="O54" s="22">
        <v>710.8</v>
      </c>
      <c r="P54" s="22">
        <v>174.3</v>
      </c>
      <c r="Q54" s="23">
        <v>130926</v>
      </c>
    </row>
    <row r="55" spans="1:17" ht="12.75" customHeight="1">
      <c r="A55" s="58">
        <v>1977</v>
      </c>
      <c r="B55" s="22">
        <v>1276.7</v>
      </c>
      <c r="C55" s="22">
        <f t="shared" si="0"/>
        <v>142.1</v>
      </c>
      <c r="D55" s="22">
        <v>131.6</v>
      </c>
      <c r="E55" s="22">
        <v>10.5</v>
      </c>
      <c r="F55" s="244">
        <v>1654.2</v>
      </c>
      <c r="G55" s="328">
        <f t="shared" si="3"/>
        <v>7.2192544769092413</v>
      </c>
      <c r="H55" s="328">
        <f t="shared" si="4"/>
        <v>2.0358208955223875</v>
      </c>
      <c r="I55" s="244">
        <v>22.1</v>
      </c>
      <c r="J55" s="22">
        <v>16.7</v>
      </c>
      <c r="K55" s="21">
        <f t="shared" si="1"/>
        <v>1624.6550753724318</v>
      </c>
      <c r="L55" s="22">
        <v>1456.7</v>
      </c>
      <c r="M55" s="21">
        <f t="shared" si="2"/>
        <v>1427.1550753724318</v>
      </c>
      <c r="N55" s="22">
        <v>994.2</v>
      </c>
      <c r="O55" s="22">
        <v>791.6</v>
      </c>
      <c r="P55" s="22">
        <v>205.8</v>
      </c>
      <c r="Q55" s="23">
        <v>154052</v>
      </c>
    </row>
    <row r="56" spans="1:17" ht="12.75" customHeight="1">
      <c r="A56" s="58">
        <v>1978</v>
      </c>
      <c r="B56" s="22">
        <v>1426.2</v>
      </c>
      <c r="C56" s="22">
        <f t="shared" si="0"/>
        <v>162.30000000000001</v>
      </c>
      <c r="D56" s="22">
        <v>149.4</v>
      </c>
      <c r="E56" s="22">
        <v>12.9</v>
      </c>
      <c r="F56" s="244">
        <v>1859.5</v>
      </c>
      <c r="G56" s="328">
        <f t="shared" si="3"/>
        <v>8.859607724674353</v>
      </c>
      <c r="H56" s="328">
        <f t="shared" si="4"/>
        <v>2.3134328358208949</v>
      </c>
      <c r="I56" s="244">
        <v>25.5</v>
      </c>
      <c r="J56" s="22">
        <v>18.600000000000001</v>
      </c>
      <c r="K56" s="21">
        <f t="shared" si="1"/>
        <v>1826.5730405604954</v>
      </c>
      <c r="L56" s="22">
        <v>1630.1</v>
      </c>
      <c r="M56" s="21">
        <f t="shared" si="2"/>
        <v>1597.1730405604953</v>
      </c>
      <c r="N56" s="22">
        <v>1120.5999999999999</v>
      </c>
      <c r="O56" s="22">
        <v>900.6</v>
      </c>
      <c r="P56" s="22">
        <v>238.6</v>
      </c>
      <c r="Q56" s="23">
        <v>185552</v>
      </c>
    </row>
    <row r="57" spans="1:17" ht="12.75" customHeight="1">
      <c r="A57" s="58">
        <v>1979</v>
      </c>
      <c r="B57" s="22">
        <v>1589.5</v>
      </c>
      <c r="C57" s="22">
        <f t="shared" si="0"/>
        <v>182.9</v>
      </c>
      <c r="D57" s="22">
        <v>169.9</v>
      </c>
      <c r="E57" s="22">
        <v>13</v>
      </c>
      <c r="F57" s="244">
        <v>2077.9</v>
      </c>
      <c r="G57" s="328">
        <f t="shared" si="3"/>
        <v>10.928755777398198</v>
      </c>
      <c r="H57" s="328">
        <f t="shared" si="4"/>
        <v>2.4985074626865669</v>
      </c>
      <c r="I57" s="244">
        <v>29.9</v>
      </c>
      <c r="J57" s="22">
        <v>21.1</v>
      </c>
      <c r="K57" s="21">
        <f t="shared" si="1"/>
        <v>2040.3272632400849</v>
      </c>
      <c r="L57" s="22">
        <v>1809.3</v>
      </c>
      <c r="M57" s="21">
        <f t="shared" si="2"/>
        <v>1771.7272632400848</v>
      </c>
      <c r="N57" s="22">
        <v>1253.3</v>
      </c>
      <c r="O57" s="22">
        <v>1016.2</v>
      </c>
      <c r="P57" s="22">
        <v>249</v>
      </c>
      <c r="Q57" s="23">
        <v>211126</v>
      </c>
    </row>
    <row r="58" spans="1:17" ht="18" customHeight="1">
      <c r="A58" s="58">
        <v>1980</v>
      </c>
      <c r="B58" s="22">
        <v>1754.6</v>
      </c>
      <c r="C58" s="22">
        <f t="shared" si="0"/>
        <v>209.1</v>
      </c>
      <c r="D58" s="22">
        <v>195.5</v>
      </c>
      <c r="E58" s="22">
        <v>13.6</v>
      </c>
      <c r="F58" s="244">
        <v>2316.8000000000002</v>
      </c>
      <c r="G58" s="328">
        <f t="shared" si="3"/>
        <v>12.085390983568953</v>
      </c>
      <c r="H58" s="328">
        <f t="shared" si="4"/>
        <v>2.7761194029850742</v>
      </c>
      <c r="I58" s="244">
        <v>36.200000000000003</v>
      </c>
      <c r="J58" s="22">
        <v>23.9</v>
      </c>
      <c r="K58" s="21">
        <f t="shared" si="1"/>
        <v>2271.5615103865543</v>
      </c>
      <c r="L58" s="22">
        <v>2018</v>
      </c>
      <c r="M58" s="21">
        <f t="shared" si="2"/>
        <v>1972.7615103865542</v>
      </c>
      <c r="N58" s="22">
        <v>1373.4</v>
      </c>
      <c r="O58" s="22">
        <v>1112</v>
      </c>
      <c r="P58" s="22">
        <v>223.6</v>
      </c>
      <c r="Q58" s="23">
        <v>195568</v>
      </c>
    </row>
    <row r="59" spans="1:17" ht="12.75" customHeight="1">
      <c r="A59" s="58">
        <v>1981</v>
      </c>
      <c r="B59" s="22">
        <v>1937.5</v>
      </c>
      <c r="C59" s="22">
        <f t="shared" si="0"/>
        <v>244.4</v>
      </c>
      <c r="D59" s="22">
        <v>228.9</v>
      </c>
      <c r="E59" s="22">
        <v>15.5</v>
      </c>
      <c r="F59" s="244">
        <v>2595.9</v>
      </c>
      <c r="G59" s="328">
        <f t="shared" si="3"/>
        <v>16.40422051308882</v>
      </c>
      <c r="H59" s="328">
        <f t="shared" si="4"/>
        <v>3.1462686567164173</v>
      </c>
      <c r="I59" s="244">
        <v>43.5</v>
      </c>
      <c r="J59" s="22">
        <v>27.7</v>
      </c>
      <c r="K59" s="21">
        <f t="shared" si="1"/>
        <v>2544.2504891698054</v>
      </c>
      <c r="L59" s="22">
        <v>2250.6999999999998</v>
      </c>
      <c r="M59" s="21">
        <f t="shared" si="2"/>
        <v>2199.0504891698051</v>
      </c>
      <c r="N59" s="22">
        <v>1511.4</v>
      </c>
      <c r="O59" s="22">
        <v>1225.5</v>
      </c>
      <c r="P59" s="22">
        <v>247.5</v>
      </c>
      <c r="Q59" s="23">
        <v>192286</v>
      </c>
    </row>
    <row r="60" spans="1:17" ht="12.75" customHeight="1">
      <c r="A60" s="58">
        <v>1982</v>
      </c>
      <c r="B60" s="22">
        <v>2073.9</v>
      </c>
      <c r="C60" s="22">
        <f t="shared" si="0"/>
        <v>273.8</v>
      </c>
      <c r="D60" s="22">
        <v>254.9</v>
      </c>
      <c r="E60" s="22">
        <v>18.899999999999999</v>
      </c>
      <c r="F60" s="244">
        <v>2778.8</v>
      </c>
      <c r="G60" s="328">
        <f t="shared" si="3"/>
        <v>17.429045062685923</v>
      </c>
      <c r="H60" s="328">
        <f t="shared" si="4"/>
        <v>3.6089552238805966</v>
      </c>
      <c r="I60" s="244">
        <v>50.9</v>
      </c>
      <c r="J60" s="22">
        <v>30.2</v>
      </c>
      <c r="K60" s="21">
        <f t="shared" si="1"/>
        <v>2718.7380002865666</v>
      </c>
      <c r="L60" s="22">
        <v>2424.6999999999998</v>
      </c>
      <c r="M60" s="21">
        <f t="shared" si="2"/>
        <v>2364.6380002865662</v>
      </c>
      <c r="N60" s="22">
        <v>1587.5</v>
      </c>
      <c r="O60" s="22">
        <v>1280</v>
      </c>
      <c r="P60" s="22">
        <v>229.9</v>
      </c>
      <c r="Q60" s="23">
        <v>165828</v>
      </c>
    </row>
    <row r="61" spans="1:17" ht="12.75" customHeight="1">
      <c r="A61" s="58">
        <v>1983</v>
      </c>
      <c r="B61" s="22">
        <v>2286.5</v>
      </c>
      <c r="C61" s="22">
        <f t="shared" si="0"/>
        <v>308.60000000000002</v>
      </c>
      <c r="D61" s="22">
        <v>287.10000000000002</v>
      </c>
      <c r="E61" s="22">
        <v>21.5</v>
      </c>
      <c r="F61" s="244">
        <v>2969.7</v>
      </c>
      <c r="G61" s="328">
        <f t="shared" si="3"/>
        <v>19.362794929398664</v>
      </c>
      <c r="H61" s="328">
        <f t="shared" si="4"/>
        <v>3.8865671641791044</v>
      </c>
      <c r="I61" s="244">
        <v>57.8</v>
      </c>
      <c r="J61" s="22">
        <v>33.9</v>
      </c>
      <c r="K61" s="21">
        <f t="shared" si="1"/>
        <v>2901.2493620935775</v>
      </c>
      <c r="L61" s="22">
        <v>2617.4</v>
      </c>
      <c r="M61" s="21">
        <f t="shared" si="2"/>
        <v>2548.9493620935777</v>
      </c>
      <c r="N61" s="22">
        <v>1677.5</v>
      </c>
      <c r="O61" s="22">
        <v>1352.7</v>
      </c>
      <c r="P61" s="22">
        <v>279.8</v>
      </c>
      <c r="Q61" s="23">
        <v>183239</v>
      </c>
    </row>
    <row r="62" spans="1:17" ht="12.75" customHeight="1">
      <c r="A62" s="58">
        <v>1984</v>
      </c>
      <c r="B62" s="22">
        <v>2498.1999999999998</v>
      </c>
      <c r="C62" s="22">
        <f t="shared" si="0"/>
        <v>341.7</v>
      </c>
      <c r="D62" s="22">
        <v>315.2</v>
      </c>
      <c r="E62" s="22">
        <v>26.5</v>
      </c>
      <c r="F62" s="244">
        <v>3281.3</v>
      </c>
      <c r="G62" s="328">
        <f t="shared" si="3"/>
        <v>21.439112824940651</v>
      </c>
      <c r="H62" s="328">
        <f t="shared" si="4"/>
        <v>4.7194029850746269</v>
      </c>
      <c r="I62" s="244">
        <v>64.7</v>
      </c>
      <c r="J62" s="22">
        <v>36.6</v>
      </c>
      <c r="K62" s="21">
        <f t="shared" si="1"/>
        <v>3206.1585158100161</v>
      </c>
      <c r="L62" s="22">
        <v>2903.9</v>
      </c>
      <c r="M62" s="21">
        <f t="shared" si="2"/>
        <v>2828.758515810016</v>
      </c>
      <c r="N62" s="22">
        <v>1844.9</v>
      </c>
      <c r="O62" s="22">
        <v>1496.8</v>
      </c>
      <c r="P62" s="22">
        <v>337.9</v>
      </c>
      <c r="Q62" s="23">
        <v>200709</v>
      </c>
    </row>
    <row r="63" spans="1:17" ht="12.75" customHeight="1">
      <c r="A63" s="58">
        <v>1985</v>
      </c>
      <c r="B63" s="22">
        <v>2722.7</v>
      </c>
      <c r="C63" s="22">
        <f t="shared" si="0"/>
        <v>373.7</v>
      </c>
      <c r="D63" s="22">
        <v>345.3</v>
      </c>
      <c r="E63" s="22">
        <v>28.4</v>
      </c>
      <c r="F63" s="244">
        <v>3515.9</v>
      </c>
      <c r="G63" s="328">
        <f t="shared" si="3"/>
        <v>23.908775312591512</v>
      </c>
      <c r="H63" s="328">
        <f t="shared" si="4"/>
        <v>5.1820895522388062</v>
      </c>
      <c r="I63" s="244">
        <v>69.7</v>
      </c>
      <c r="J63" s="22">
        <v>39.700000000000003</v>
      </c>
      <c r="K63" s="21">
        <f t="shared" si="1"/>
        <v>3435.5908648648306</v>
      </c>
      <c r="L63" s="22">
        <v>3098.5</v>
      </c>
      <c r="M63" s="21">
        <f t="shared" si="2"/>
        <v>3018.1908648648305</v>
      </c>
      <c r="N63" s="22">
        <v>1982.6</v>
      </c>
      <c r="O63" s="22">
        <v>1608.7</v>
      </c>
      <c r="P63" s="22">
        <v>354.5</v>
      </c>
      <c r="Q63" s="23">
        <v>190243</v>
      </c>
    </row>
    <row r="64" spans="1:17" ht="12.75" customHeight="1">
      <c r="A64" s="58">
        <v>1986</v>
      </c>
      <c r="B64" s="22">
        <v>2898.4</v>
      </c>
      <c r="C64" s="22">
        <f t="shared" si="0"/>
        <v>404</v>
      </c>
      <c r="D64" s="22">
        <v>378.4</v>
      </c>
      <c r="E64" s="22">
        <v>25.6</v>
      </c>
      <c r="F64" s="244">
        <v>3725.1</v>
      </c>
      <c r="G64" s="328">
        <f t="shared" si="3"/>
        <v>27.601811296725071</v>
      </c>
      <c r="H64" s="328">
        <f t="shared" si="4"/>
        <v>5.2746268656716424</v>
      </c>
      <c r="I64" s="244">
        <v>75.3</v>
      </c>
      <c r="J64" s="22">
        <v>43.6</v>
      </c>
      <c r="K64" s="21">
        <f t="shared" si="1"/>
        <v>3639.0764381623962</v>
      </c>
      <c r="L64" s="22">
        <v>3287.9</v>
      </c>
      <c r="M64" s="21">
        <f t="shared" si="2"/>
        <v>3201.8764381623964</v>
      </c>
      <c r="N64" s="22">
        <v>2102.3000000000002</v>
      </c>
      <c r="O64" s="22">
        <v>1705.1</v>
      </c>
      <c r="P64" s="22">
        <v>324.39999999999998</v>
      </c>
      <c r="Q64" s="23">
        <v>156519</v>
      </c>
    </row>
    <row r="65" spans="1:17" ht="12.75" customHeight="1">
      <c r="A65" s="58">
        <v>1987</v>
      </c>
      <c r="B65" s="22">
        <v>3092.1</v>
      </c>
      <c r="C65" s="22">
        <f t="shared" si="0"/>
        <v>443.5</v>
      </c>
      <c r="D65" s="22">
        <v>419.9</v>
      </c>
      <c r="E65" s="22">
        <v>23.6</v>
      </c>
      <c r="F65" s="244">
        <v>3955.3</v>
      </c>
      <c r="G65" s="244">
        <f>'[1]Table 1.3.4'!J10</f>
        <v>29.5</v>
      </c>
      <c r="H65" s="244">
        <f>'[1]Table 1.3.4'!K10</f>
        <v>6.2</v>
      </c>
      <c r="I65" s="244">
        <v>81.599999999999994</v>
      </c>
      <c r="J65" s="22">
        <v>47.8</v>
      </c>
      <c r="K65" s="21">
        <f t="shared" si="1"/>
        <v>3861.6</v>
      </c>
      <c r="L65" s="22">
        <v>3466.3</v>
      </c>
      <c r="M65" s="21">
        <f t="shared" si="2"/>
        <v>3372.6</v>
      </c>
      <c r="N65" s="22">
        <v>2256.3000000000002</v>
      </c>
      <c r="O65" s="22">
        <v>1833.2</v>
      </c>
      <c r="P65" s="22">
        <v>366</v>
      </c>
      <c r="Q65" s="23">
        <v>200350</v>
      </c>
    </row>
    <row r="66" spans="1:17" ht="12.75" customHeight="1">
      <c r="A66" s="58">
        <v>1988</v>
      </c>
      <c r="B66" s="22">
        <v>3346.9</v>
      </c>
      <c r="C66" s="22">
        <f t="shared" si="0"/>
        <v>499.8</v>
      </c>
      <c r="D66" s="22">
        <v>470.7</v>
      </c>
      <c r="E66" s="22">
        <v>29.1</v>
      </c>
      <c r="F66" s="244">
        <v>4275.3</v>
      </c>
      <c r="G66" s="244">
        <f>'[1]Table 1.3.4'!J11</f>
        <v>31.5</v>
      </c>
      <c r="H66" s="244">
        <f>'[1]Table 1.3.4'!K11</f>
        <v>8.8000000000000007</v>
      </c>
      <c r="I66" s="244">
        <v>86.3</v>
      </c>
      <c r="J66" s="22">
        <v>53</v>
      </c>
      <c r="K66" s="21">
        <f t="shared" si="1"/>
        <v>4176.3</v>
      </c>
      <c r="L66" s="22">
        <v>3770.4</v>
      </c>
      <c r="M66" s="21">
        <f t="shared" si="2"/>
        <v>3671.4</v>
      </c>
      <c r="N66" s="22">
        <v>2439.8000000000002</v>
      </c>
      <c r="O66" s="22">
        <v>1987.7</v>
      </c>
      <c r="P66" s="22">
        <v>414.9</v>
      </c>
      <c r="Q66" s="23">
        <v>246726</v>
      </c>
    </row>
    <row r="67" spans="1:17" ht="12.75" customHeight="1">
      <c r="A67" s="58">
        <v>1989</v>
      </c>
      <c r="B67" s="22">
        <v>3592.8</v>
      </c>
      <c r="C67" s="22">
        <f t="shared" si="0"/>
        <v>555.6</v>
      </c>
      <c r="D67" s="22">
        <v>519</v>
      </c>
      <c r="E67" s="22">
        <v>36.6</v>
      </c>
      <c r="F67" s="244">
        <v>4618.2</v>
      </c>
      <c r="G67" s="244">
        <f>'[1]Table 1.3.4'!J12</f>
        <v>33.700000000000003</v>
      </c>
      <c r="H67" s="244">
        <f>'[1]Table 1.3.4'!K12</f>
        <v>11.3</v>
      </c>
      <c r="I67" s="244">
        <v>98.2</v>
      </c>
      <c r="J67" s="22">
        <v>60.8</v>
      </c>
      <c r="K67" s="21">
        <f t="shared" si="1"/>
        <v>4504.2</v>
      </c>
      <c r="L67" s="22">
        <v>4052.1</v>
      </c>
      <c r="M67" s="21">
        <f t="shared" si="2"/>
        <v>3938.1</v>
      </c>
      <c r="N67" s="22">
        <v>2583.1</v>
      </c>
      <c r="O67" s="22">
        <v>2101.9</v>
      </c>
      <c r="P67" s="22">
        <v>414.2</v>
      </c>
      <c r="Q67" s="23">
        <v>243336</v>
      </c>
    </row>
    <row r="68" spans="1:17" ht="18" customHeight="1">
      <c r="A68" s="58">
        <v>1990</v>
      </c>
      <c r="B68" s="22">
        <v>3825.6</v>
      </c>
      <c r="C68" s="22">
        <f t="shared" si="0"/>
        <v>627.1</v>
      </c>
      <c r="D68" s="22">
        <v>583.70000000000005</v>
      </c>
      <c r="E68" s="22">
        <v>43.4</v>
      </c>
      <c r="F68" s="244">
        <v>4904.5</v>
      </c>
      <c r="G68" s="244">
        <f>'[1]Table 1.3.4'!J13</f>
        <v>35.700000000000003</v>
      </c>
      <c r="H68" s="244">
        <f>'[1]Table 1.3.4'!K13</f>
        <v>10.199999999999999</v>
      </c>
      <c r="I68" s="244">
        <v>107.6</v>
      </c>
      <c r="J68" s="22">
        <v>73.099999999999994</v>
      </c>
      <c r="K68" s="21">
        <f t="shared" si="1"/>
        <v>4769.6999999999989</v>
      </c>
      <c r="L68" s="22">
        <v>4311.8</v>
      </c>
      <c r="M68" s="21">
        <f t="shared" si="2"/>
        <v>4176.9999999999991</v>
      </c>
      <c r="N68" s="22">
        <v>2741.2</v>
      </c>
      <c r="O68" s="22">
        <v>2222.1999999999998</v>
      </c>
      <c r="P68" s="22">
        <v>417.2</v>
      </c>
      <c r="Q68" s="23">
        <v>258627</v>
      </c>
    </row>
    <row r="69" spans="1:17" ht="12.75" customHeight="1">
      <c r="A69" s="58">
        <v>1991</v>
      </c>
      <c r="B69" s="22">
        <v>3960.2</v>
      </c>
      <c r="C69" s="22">
        <f t="shared" si="0"/>
        <v>683.6</v>
      </c>
      <c r="D69" s="22">
        <v>638.4</v>
      </c>
      <c r="E69" s="22">
        <v>45.2</v>
      </c>
      <c r="F69" s="244">
        <v>5071.1000000000004</v>
      </c>
      <c r="G69" s="244">
        <f>'[1]Table 1.3.4'!J14</f>
        <v>39.700000000000003</v>
      </c>
      <c r="H69" s="244">
        <f>'[1]Table 1.3.4'!K14</f>
        <v>10.4</v>
      </c>
      <c r="I69" s="244">
        <v>117.5</v>
      </c>
      <c r="J69" s="22">
        <v>96.9</v>
      </c>
      <c r="K69" s="21">
        <f t="shared" si="1"/>
        <v>4906.8</v>
      </c>
      <c r="L69" s="22">
        <v>4484.5</v>
      </c>
      <c r="M69" s="21">
        <f t="shared" si="2"/>
        <v>4320.2</v>
      </c>
      <c r="N69" s="22">
        <v>2814.5</v>
      </c>
      <c r="O69" s="22">
        <v>2265.6999999999998</v>
      </c>
      <c r="P69" s="22">
        <v>451.3</v>
      </c>
      <c r="Q69" s="23">
        <v>290726</v>
      </c>
    </row>
    <row r="70" spans="1:17" ht="12.75" customHeight="1">
      <c r="A70" s="58">
        <v>1992</v>
      </c>
      <c r="B70" s="22">
        <v>4215.7</v>
      </c>
      <c r="C70" s="22">
        <f t="shared" si="0"/>
        <v>750.5</v>
      </c>
      <c r="D70" s="22">
        <v>700.4</v>
      </c>
      <c r="E70" s="22">
        <v>50.1</v>
      </c>
      <c r="F70" s="244">
        <v>5410.8</v>
      </c>
      <c r="G70" s="244">
        <f>'[1]Table 1.3.4'!J15</f>
        <v>42</v>
      </c>
      <c r="H70" s="244">
        <f>'[1]Table 1.3.4'!K15</f>
        <v>11.2</v>
      </c>
      <c r="I70" s="244">
        <v>132.6</v>
      </c>
      <c r="J70" s="22">
        <v>116.2</v>
      </c>
      <c r="K70" s="21">
        <f t="shared" si="1"/>
        <v>5215.2</v>
      </c>
      <c r="L70" s="22">
        <v>4800.3</v>
      </c>
      <c r="M70" s="21">
        <f t="shared" si="2"/>
        <v>4604.7</v>
      </c>
      <c r="N70" s="22">
        <v>2965.5</v>
      </c>
      <c r="O70" s="22">
        <v>2393.5</v>
      </c>
      <c r="P70" s="22">
        <v>475.3</v>
      </c>
      <c r="Q70" s="23">
        <v>313873</v>
      </c>
    </row>
    <row r="71" spans="1:17" ht="12.75" customHeight="1">
      <c r="A71" s="58">
        <v>1993</v>
      </c>
      <c r="B71" s="22">
        <v>4471</v>
      </c>
      <c r="C71" s="22">
        <f t="shared" si="0"/>
        <v>797.7</v>
      </c>
      <c r="D71" s="22">
        <v>741.7</v>
      </c>
      <c r="E71" s="22">
        <v>56</v>
      </c>
      <c r="F71" s="244">
        <v>5646.8</v>
      </c>
      <c r="G71" s="244">
        <f>'[1]Table 1.3.4'!J16</f>
        <v>43.8</v>
      </c>
      <c r="H71" s="244">
        <f>'[1]Table 1.3.4'!K16</f>
        <v>13</v>
      </c>
      <c r="I71" s="244">
        <v>146.80000000000001</v>
      </c>
      <c r="J71" s="22">
        <v>130.1</v>
      </c>
      <c r="K71" s="21">
        <f t="shared" si="1"/>
        <v>5426.7</v>
      </c>
      <c r="L71" s="22">
        <v>5000.2</v>
      </c>
      <c r="M71" s="21">
        <f t="shared" si="2"/>
        <v>4780.0999999999995</v>
      </c>
      <c r="N71" s="22">
        <v>3079.3</v>
      </c>
      <c r="O71" s="22">
        <v>2490.3000000000002</v>
      </c>
      <c r="P71" s="22">
        <v>522</v>
      </c>
      <c r="Q71" s="23">
        <v>334910</v>
      </c>
    </row>
    <row r="72" spans="1:17" ht="12.75" customHeight="1">
      <c r="A72" s="58">
        <v>1994</v>
      </c>
      <c r="B72" s="22">
        <v>4741</v>
      </c>
      <c r="C72" s="22">
        <f t="shared" ref="C72:C98" si="5">D72+E72</f>
        <v>839.19999999999993</v>
      </c>
      <c r="D72" s="22">
        <v>779.9</v>
      </c>
      <c r="E72" s="22">
        <v>59.3</v>
      </c>
      <c r="F72" s="244">
        <v>5934.7</v>
      </c>
      <c r="G72" s="244">
        <f>'[1]Table 1.3.4'!J17</f>
        <v>50.7</v>
      </c>
      <c r="H72" s="244">
        <f>'[1]Table 1.3.4'!K17</f>
        <v>14.5</v>
      </c>
      <c r="I72" s="244">
        <v>164.4</v>
      </c>
      <c r="J72" s="22">
        <v>139.4</v>
      </c>
      <c r="K72" s="21">
        <f t="shared" ref="K72:K99" si="6">F72+G72+H72-I72-J72</f>
        <v>5696.1</v>
      </c>
      <c r="L72" s="22">
        <v>5244.2</v>
      </c>
      <c r="M72" s="21">
        <f t="shared" ref="M72:M99" si="7">K72-(F72-L72)</f>
        <v>5005.6000000000004</v>
      </c>
      <c r="N72" s="22">
        <v>3236.6</v>
      </c>
      <c r="O72" s="22">
        <v>2627.1</v>
      </c>
      <c r="P72" s="22">
        <v>621.9</v>
      </c>
      <c r="Q72" s="23">
        <v>408563</v>
      </c>
    </row>
    <row r="73" spans="1:17" ht="12.75" customHeight="1">
      <c r="A73" s="58">
        <v>1995</v>
      </c>
      <c r="B73" s="22">
        <v>4984.2</v>
      </c>
      <c r="C73" s="22">
        <f t="shared" si="5"/>
        <v>888</v>
      </c>
      <c r="D73" s="22">
        <v>826</v>
      </c>
      <c r="E73" s="22">
        <v>62</v>
      </c>
      <c r="F73" s="244">
        <v>6276.5</v>
      </c>
      <c r="G73" s="244">
        <f>'[1]Table 1.3.4'!J18</f>
        <v>56</v>
      </c>
      <c r="H73" s="244">
        <f>'[1]Table 1.3.4'!K18</f>
        <v>16.399999999999999</v>
      </c>
      <c r="I73" s="244">
        <v>181.2</v>
      </c>
      <c r="J73" s="22">
        <v>149.6</v>
      </c>
      <c r="K73" s="21">
        <f t="shared" si="6"/>
        <v>6018.0999999999995</v>
      </c>
      <c r="L73" s="22">
        <v>5532.6</v>
      </c>
      <c r="M73" s="21">
        <f t="shared" si="7"/>
        <v>5274.2</v>
      </c>
      <c r="N73" s="22">
        <v>3418</v>
      </c>
      <c r="O73" s="22">
        <v>2789</v>
      </c>
      <c r="P73" s="22">
        <v>703</v>
      </c>
      <c r="Q73" s="23">
        <v>467413</v>
      </c>
    </row>
    <row r="74" spans="1:17" ht="12.75" customHeight="1">
      <c r="A74" s="58">
        <v>1996</v>
      </c>
      <c r="B74" s="22">
        <v>5268.1</v>
      </c>
      <c r="C74" s="22">
        <f t="shared" si="5"/>
        <v>935.19999999999993</v>
      </c>
      <c r="D74" s="22">
        <v>868.3</v>
      </c>
      <c r="E74" s="22">
        <v>66.900000000000006</v>
      </c>
      <c r="F74" s="244">
        <v>6661.9</v>
      </c>
      <c r="G74" s="244">
        <f>'[1]Table 1.3.4'!J19</f>
        <v>59.3</v>
      </c>
      <c r="H74" s="244">
        <f>'[1]Table 1.3.4'!K19</f>
        <v>15.2</v>
      </c>
      <c r="I74" s="244">
        <v>194.9</v>
      </c>
      <c r="J74" s="22">
        <v>158.19999999999999</v>
      </c>
      <c r="K74" s="21">
        <f t="shared" si="6"/>
        <v>6383.3</v>
      </c>
      <c r="L74" s="22">
        <v>5829.9</v>
      </c>
      <c r="M74" s="21">
        <f t="shared" si="7"/>
        <v>5551.3</v>
      </c>
      <c r="N74" s="22">
        <v>3616.5</v>
      </c>
      <c r="O74" s="22">
        <v>2968.4</v>
      </c>
      <c r="P74" s="22">
        <v>786.1</v>
      </c>
      <c r="Q74" s="23">
        <v>507271</v>
      </c>
    </row>
    <row r="75" spans="1:17" ht="12.75" customHeight="1">
      <c r="A75" s="58">
        <v>1997</v>
      </c>
      <c r="B75" s="22">
        <v>5560.7</v>
      </c>
      <c r="C75" s="22">
        <f t="shared" si="5"/>
        <v>993.4</v>
      </c>
      <c r="D75" s="22">
        <v>919.9</v>
      </c>
      <c r="E75" s="22">
        <v>73.5</v>
      </c>
      <c r="F75" s="244">
        <v>7075</v>
      </c>
      <c r="G75" s="244">
        <f>'[1]Table 1.3.4'!J20</f>
        <v>63</v>
      </c>
      <c r="H75" s="244">
        <f>'[1]Table 1.3.4'!K20</f>
        <v>15.5</v>
      </c>
      <c r="I75" s="244">
        <v>206.9</v>
      </c>
      <c r="J75" s="22">
        <v>163.1</v>
      </c>
      <c r="K75" s="21">
        <f t="shared" si="6"/>
        <v>6783.5</v>
      </c>
      <c r="L75" s="22">
        <v>6148.9</v>
      </c>
      <c r="M75" s="21">
        <f t="shared" si="7"/>
        <v>5857.4</v>
      </c>
      <c r="N75" s="22">
        <v>3876.8</v>
      </c>
      <c r="O75" s="22">
        <v>3205</v>
      </c>
      <c r="P75" s="22">
        <v>865.8</v>
      </c>
      <c r="Q75" s="23">
        <v>551466</v>
      </c>
    </row>
    <row r="76" spans="1:17" ht="12.75" customHeight="1">
      <c r="A76" s="58">
        <v>1998</v>
      </c>
      <c r="B76" s="22">
        <v>5903</v>
      </c>
      <c r="C76" s="22">
        <f t="shared" si="5"/>
        <v>1060.5</v>
      </c>
      <c r="D76" s="22">
        <v>979.7</v>
      </c>
      <c r="E76" s="22">
        <v>80.8</v>
      </c>
      <c r="F76" s="244">
        <v>7587.7</v>
      </c>
      <c r="G76" s="244">
        <f>'[1]Table 1.3.4'!J21</f>
        <v>69.2</v>
      </c>
      <c r="H76" s="244">
        <f>'[1]Table 1.3.4'!K21</f>
        <v>15.5</v>
      </c>
      <c r="I76" s="244">
        <v>205.6</v>
      </c>
      <c r="J76" s="22">
        <v>170.2</v>
      </c>
      <c r="K76" s="21">
        <f t="shared" si="6"/>
        <v>7296.5999999999995</v>
      </c>
      <c r="L76" s="22">
        <v>6561.3</v>
      </c>
      <c r="M76" s="21">
        <f t="shared" si="7"/>
        <v>6270.2</v>
      </c>
      <c r="N76" s="22">
        <v>4181.6000000000004</v>
      </c>
      <c r="O76" s="22">
        <v>3480.3</v>
      </c>
      <c r="P76" s="22">
        <v>804.1</v>
      </c>
      <c r="Q76" s="23">
        <v>479711</v>
      </c>
    </row>
    <row r="77" spans="1:17" ht="12.75" customHeight="1">
      <c r="A77" s="58">
        <v>1999</v>
      </c>
      <c r="B77" s="22">
        <v>6316.9</v>
      </c>
      <c r="C77" s="22">
        <f t="shared" si="5"/>
        <v>1119</v>
      </c>
      <c r="D77" s="22">
        <v>1033.3</v>
      </c>
      <c r="E77" s="22">
        <v>85.7</v>
      </c>
      <c r="F77" s="244">
        <v>7983.8</v>
      </c>
      <c r="G77" s="244">
        <f>'[1]Table 1.3.4'!J22</f>
        <v>75.099999999999994</v>
      </c>
      <c r="H77" s="244">
        <f>'[1]Table 1.3.4'!K22</f>
        <v>16.3</v>
      </c>
      <c r="I77" s="244">
        <v>208.7</v>
      </c>
      <c r="J77" s="22">
        <v>184.6</v>
      </c>
      <c r="K77" s="21">
        <f t="shared" si="6"/>
        <v>7681.9000000000005</v>
      </c>
      <c r="L77" s="22">
        <v>6876.3</v>
      </c>
      <c r="M77" s="21">
        <f t="shared" si="7"/>
        <v>6574.4000000000005</v>
      </c>
      <c r="N77" s="22">
        <v>4458</v>
      </c>
      <c r="O77" s="22">
        <v>3724.2</v>
      </c>
      <c r="P77" s="22">
        <v>830.2</v>
      </c>
      <c r="Q77" s="23">
        <v>507363</v>
      </c>
    </row>
    <row r="78" spans="1:17" ht="18" customHeight="1">
      <c r="A78" s="58">
        <v>2000</v>
      </c>
      <c r="B78" s="22">
        <v>6801.6</v>
      </c>
      <c r="C78" s="22">
        <f t="shared" si="5"/>
        <v>1204</v>
      </c>
      <c r="D78" s="22">
        <v>1109.5999999999999</v>
      </c>
      <c r="E78" s="22">
        <v>94.4</v>
      </c>
      <c r="F78" s="244">
        <v>8632.7999999999993</v>
      </c>
      <c r="G78" s="244">
        <f>'[1]Table 1.3.4'!J23</f>
        <v>82.6</v>
      </c>
      <c r="H78" s="244">
        <f>'[1]Table 1.3.4'!K23</f>
        <v>16.3</v>
      </c>
      <c r="I78" s="244">
        <v>219.1</v>
      </c>
      <c r="J78" s="22">
        <v>199.5</v>
      </c>
      <c r="K78" s="21">
        <f t="shared" si="6"/>
        <v>8313.0999999999985</v>
      </c>
      <c r="L78" s="22">
        <v>7400.5</v>
      </c>
      <c r="M78" s="21">
        <f t="shared" si="7"/>
        <v>7080.7999999999993</v>
      </c>
      <c r="N78" s="22">
        <v>4825.8999999999996</v>
      </c>
      <c r="O78" s="22">
        <v>4046.1</v>
      </c>
      <c r="P78" s="22">
        <v>781.2</v>
      </c>
      <c r="Q78" s="23">
        <v>481994</v>
      </c>
    </row>
    <row r="79" spans="1:17" ht="12.75" customHeight="1">
      <c r="A79" s="58">
        <v>2001</v>
      </c>
      <c r="B79" s="22">
        <v>7106.9</v>
      </c>
      <c r="C79" s="22">
        <f t="shared" si="5"/>
        <v>1310.5</v>
      </c>
      <c r="D79" s="22">
        <v>1209.4000000000001</v>
      </c>
      <c r="E79" s="22">
        <v>101.1</v>
      </c>
      <c r="F79" s="244">
        <v>8987.1</v>
      </c>
      <c r="G79" s="244">
        <f>'[1]Table 1.3.4'!J24</f>
        <v>83</v>
      </c>
      <c r="H79" s="244">
        <f>'[1]Table 1.3.4'!K24</f>
        <v>18.100000000000001</v>
      </c>
      <c r="I79" s="244">
        <v>242.6</v>
      </c>
      <c r="J79" s="22">
        <v>227.3</v>
      </c>
      <c r="K79" s="21">
        <f t="shared" si="6"/>
        <v>8618.3000000000011</v>
      </c>
      <c r="L79" s="22">
        <v>7752.3</v>
      </c>
      <c r="M79" s="21">
        <f t="shared" si="7"/>
        <v>7383.5000000000009</v>
      </c>
      <c r="N79" s="22">
        <v>4954.3999999999996</v>
      </c>
      <c r="O79" s="22">
        <v>4132.3999999999996</v>
      </c>
      <c r="P79" s="22">
        <v>754</v>
      </c>
      <c r="Q79" s="23">
        <v>487343</v>
      </c>
    </row>
    <row r="80" spans="1:17" ht="12.75" customHeight="1">
      <c r="A80" s="58">
        <v>2002</v>
      </c>
      <c r="B80" s="22">
        <v>7385.3</v>
      </c>
      <c r="C80" s="22">
        <f t="shared" si="5"/>
        <v>1423.6</v>
      </c>
      <c r="D80" s="22">
        <v>1317.1</v>
      </c>
      <c r="E80" s="22">
        <v>106.5</v>
      </c>
      <c r="F80" s="244">
        <v>9149.5</v>
      </c>
      <c r="G80" s="244">
        <f>'[1]Table 1.3.4'!J25</f>
        <v>84.4</v>
      </c>
      <c r="H80" s="244">
        <f>'[1]Table 1.3.4'!K25</f>
        <v>19.899999999999999</v>
      </c>
      <c r="I80" s="244">
        <v>259.2</v>
      </c>
      <c r="J80" s="22">
        <v>250</v>
      </c>
      <c r="K80" s="21">
        <f t="shared" si="6"/>
        <v>8744.5999999999985</v>
      </c>
      <c r="L80" s="22">
        <v>8099.2</v>
      </c>
      <c r="M80" s="21">
        <f t="shared" si="7"/>
        <v>7694.2999999999984</v>
      </c>
      <c r="N80" s="22">
        <v>4996.3999999999996</v>
      </c>
      <c r="O80" s="22">
        <v>4123.3</v>
      </c>
      <c r="P80" s="22">
        <v>907.2</v>
      </c>
      <c r="Q80" s="23">
        <v>596605</v>
      </c>
    </row>
    <row r="81" spans="1:17" ht="12.75" customHeight="1">
      <c r="A81" s="58">
        <v>2003</v>
      </c>
      <c r="B81" s="22">
        <v>7764.4</v>
      </c>
      <c r="C81" s="22">
        <f t="shared" si="5"/>
        <v>1528</v>
      </c>
      <c r="D81" s="22">
        <v>1411.3</v>
      </c>
      <c r="E81" s="22">
        <v>116.7</v>
      </c>
      <c r="F81" s="244">
        <v>9487.6</v>
      </c>
      <c r="G81" s="244">
        <f>'[1]Table 1.3.4'!J26</f>
        <v>86.3</v>
      </c>
      <c r="H81" s="244">
        <f>'[1]Table 1.3.4'!K26</f>
        <v>21.7</v>
      </c>
      <c r="I81" s="244">
        <v>276.7</v>
      </c>
      <c r="J81" s="22">
        <v>264.5</v>
      </c>
      <c r="K81" s="21">
        <f t="shared" si="6"/>
        <v>9054.4</v>
      </c>
      <c r="L81" s="22">
        <v>8486.7000000000007</v>
      </c>
      <c r="M81" s="21">
        <f t="shared" si="7"/>
        <v>8053.5</v>
      </c>
      <c r="N81" s="22">
        <v>5138.8</v>
      </c>
      <c r="O81" s="22">
        <v>4225.5</v>
      </c>
      <c r="P81" s="22">
        <v>1056.4000000000001</v>
      </c>
      <c r="Q81" s="23">
        <v>725674</v>
      </c>
    </row>
    <row r="82" spans="1:17" ht="12.75" customHeight="1">
      <c r="A82" s="58">
        <v>2004</v>
      </c>
      <c r="B82" s="22">
        <v>8257.7999999999993</v>
      </c>
      <c r="C82" s="22">
        <f t="shared" si="5"/>
        <v>1632.7</v>
      </c>
      <c r="D82" s="22">
        <v>1516.2</v>
      </c>
      <c r="E82" s="22">
        <v>116.5</v>
      </c>
      <c r="F82" s="244">
        <v>10049.200000000001</v>
      </c>
      <c r="G82" s="244">
        <f>'[1]Table 1.3.4'!J27</f>
        <v>91.5</v>
      </c>
      <c r="H82" s="244">
        <f>'[1]Table 1.3.4'!K27</f>
        <v>24.7</v>
      </c>
      <c r="I82" s="244">
        <v>304.39999999999998</v>
      </c>
      <c r="J82" s="22">
        <v>289.8</v>
      </c>
      <c r="K82" s="21">
        <f t="shared" si="6"/>
        <v>9571.2000000000025</v>
      </c>
      <c r="L82" s="22">
        <v>9003.2000000000007</v>
      </c>
      <c r="M82" s="21">
        <f t="shared" si="7"/>
        <v>8525.2000000000025</v>
      </c>
      <c r="N82" s="22">
        <v>5422.9</v>
      </c>
      <c r="O82" s="22">
        <v>4470.2</v>
      </c>
      <c r="P82" s="22">
        <v>1283.3</v>
      </c>
      <c r="Q82" s="23">
        <v>948516</v>
      </c>
    </row>
    <row r="83" spans="1:17" ht="12.75" customHeight="1">
      <c r="A83" s="58">
        <v>2005</v>
      </c>
      <c r="B83" s="22">
        <v>8790.2999999999993</v>
      </c>
      <c r="C83" s="22">
        <f t="shared" si="5"/>
        <v>1743.4</v>
      </c>
      <c r="D83" s="22">
        <v>1614</v>
      </c>
      <c r="E83" s="22">
        <v>129.4</v>
      </c>
      <c r="F83" s="244">
        <v>10610.3</v>
      </c>
      <c r="G83" s="244">
        <f>'[1]Table 1.3.4'!J28</f>
        <v>96.6</v>
      </c>
      <c r="H83" s="244">
        <f>'[1]Table 1.3.4'!K28</f>
        <v>29.1</v>
      </c>
      <c r="I83" s="244">
        <v>332.2</v>
      </c>
      <c r="J83" s="22">
        <v>304.39999999999998</v>
      </c>
      <c r="K83" s="21">
        <f t="shared" si="6"/>
        <v>10099.4</v>
      </c>
      <c r="L83" s="22">
        <v>9401.7999999999993</v>
      </c>
      <c r="M83" s="21">
        <f t="shared" si="7"/>
        <v>8890.9</v>
      </c>
      <c r="N83" s="22">
        <v>5692.9</v>
      </c>
      <c r="O83" s="22">
        <v>4701.3999999999996</v>
      </c>
      <c r="P83" s="22">
        <v>1477.7</v>
      </c>
      <c r="Q83" s="23">
        <v>1240939</v>
      </c>
    </row>
    <row r="84" spans="1:17" ht="12.75" customHeight="1">
      <c r="A84" s="58">
        <v>2006</v>
      </c>
      <c r="B84" s="22">
        <v>9297.5</v>
      </c>
      <c r="C84" s="22">
        <f t="shared" si="5"/>
        <v>1847.8999999999999</v>
      </c>
      <c r="D84" s="22">
        <v>1717.3</v>
      </c>
      <c r="E84" s="22">
        <v>130.6</v>
      </c>
      <c r="F84" s="244">
        <v>11389.8</v>
      </c>
      <c r="G84" s="244">
        <f>'[1]Table 1.3.4'!J29</f>
        <v>103.6</v>
      </c>
      <c r="H84" s="244">
        <f>'[1]Table 1.3.4'!K29</f>
        <v>36.6</v>
      </c>
      <c r="I84" s="244">
        <v>399.2</v>
      </c>
      <c r="J84" s="22">
        <v>299.10000000000002</v>
      </c>
      <c r="K84" s="21">
        <f t="shared" si="6"/>
        <v>10831.699999999999</v>
      </c>
      <c r="L84" s="22">
        <v>10037.700000000001</v>
      </c>
      <c r="M84" s="21">
        <f t="shared" si="7"/>
        <v>9479.6</v>
      </c>
      <c r="N84" s="22">
        <v>6058.2</v>
      </c>
      <c r="O84" s="22">
        <v>5023.3</v>
      </c>
      <c r="P84" s="22">
        <v>1646.5</v>
      </c>
      <c r="Q84" s="23">
        <v>1378063</v>
      </c>
    </row>
    <row r="85" spans="1:17" ht="12.75" customHeight="1">
      <c r="A85" s="58">
        <v>2007</v>
      </c>
      <c r="B85" s="22">
        <v>9744.4</v>
      </c>
      <c r="C85" s="22">
        <f t="shared" si="5"/>
        <v>1958.1</v>
      </c>
      <c r="D85" s="22">
        <v>1826.8</v>
      </c>
      <c r="E85" s="22">
        <v>131.30000000000001</v>
      </c>
      <c r="F85" s="244">
        <v>11995.7</v>
      </c>
      <c r="G85" s="244">
        <f>'[1]Table 1.3.4'!J30</f>
        <v>109.2</v>
      </c>
      <c r="H85" s="244">
        <f>'[1]Table 1.3.4'!K30</f>
        <v>40.299999999999997</v>
      </c>
      <c r="I85" s="244">
        <v>429</v>
      </c>
      <c r="J85" s="22">
        <v>324.2</v>
      </c>
      <c r="K85" s="21">
        <f t="shared" si="6"/>
        <v>11392</v>
      </c>
      <c r="L85" s="22">
        <v>10507.9</v>
      </c>
      <c r="M85" s="21">
        <f t="shared" si="7"/>
        <v>9904.1999999999989</v>
      </c>
      <c r="N85" s="22">
        <v>6396</v>
      </c>
      <c r="O85" s="22">
        <v>5307.2</v>
      </c>
      <c r="P85" s="22">
        <v>1529</v>
      </c>
      <c r="Q85" s="23">
        <v>1302886</v>
      </c>
    </row>
    <row r="86" spans="1:17" ht="12.75" customHeight="1">
      <c r="A86" s="58">
        <v>2008</v>
      </c>
      <c r="B86" s="22">
        <v>10005.5</v>
      </c>
      <c r="C86" s="22">
        <f t="shared" si="5"/>
        <v>2041.6000000000001</v>
      </c>
      <c r="D86" s="22">
        <v>1914.2</v>
      </c>
      <c r="E86" s="22">
        <v>127.4</v>
      </c>
      <c r="F86" s="244">
        <v>12430.6</v>
      </c>
      <c r="G86" s="244">
        <f>'[1]Table 1.3.4'!J31</f>
        <v>112.3</v>
      </c>
      <c r="H86" s="244">
        <f>'[1]Table 1.3.4'!K31</f>
        <v>44.2</v>
      </c>
      <c r="I86" s="244">
        <v>462.9</v>
      </c>
      <c r="J86" s="22">
        <v>338.3</v>
      </c>
      <c r="K86" s="21">
        <f t="shared" si="6"/>
        <v>11785.900000000001</v>
      </c>
      <c r="L86" s="22">
        <v>10995.4</v>
      </c>
      <c r="M86" s="21">
        <f t="shared" si="7"/>
        <v>10350.700000000001</v>
      </c>
      <c r="N86" s="22">
        <v>6532.8</v>
      </c>
      <c r="O86" s="22">
        <v>5388.7</v>
      </c>
      <c r="P86" s="22">
        <v>1285.0999999999999</v>
      </c>
      <c r="Q86" s="23">
        <v>1073343</v>
      </c>
    </row>
    <row r="87" spans="1:17" ht="12.75" customHeight="1">
      <c r="A87" s="58">
        <v>2009</v>
      </c>
      <c r="B87" s="22">
        <v>9842.9</v>
      </c>
      <c r="C87" s="22">
        <f t="shared" si="5"/>
        <v>2120.3000000000002</v>
      </c>
      <c r="D87" s="22">
        <v>2000.9</v>
      </c>
      <c r="E87" s="22">
        <v>119.4</v>
      </c>
      <c r="F87" s="244">
        <v>12082.1</v>
      </c>
      <c r="G87" s="244">
        <f>'[1]Table 1.3.4'!J32</f>
        <v>108.5</v>
      </c>
      <c r="H87" s="244">
        <f>'[1]Table 1.3.4'!K32</f>
        <v>47.2</v>
      </c>
      <c r="I87" s="244">
        <v>494.6</v>
      </c>
      <c r="J87" s="23">
        <v>369.2</v>
      </c>
      <c r="K87" s="21">
        <f t="shared" si="6"/>
        <v>11374</v>
      </c>
      <c r="L87" s="22">
        <v>10937.2</v>
      </c>
      <c r="M87" s="21">
        <f t="shared" si="7"/>
        <v>10229.1</v>
      </c>
      <c r="N87" s="23">
        <v>6252.2</v>
      </c>
      <c r="O87" s="23">
        <v>5077.1000000000004</v>
      </c>
      <c r="P87" s="22">
        <v>1392.6</v>
      </c>
      <c r="Q87" s="23">
        <v>1198719</v>
      </c>
    </row>
    <row r="88" spans="1:17" ht="18" customHeight="1">
      <c r="A88" s="58">
        <v>2010</v>
      </c>
      <c r="B88" s="22">
        <v>10201.9</v>
      </c>
      <c r="C88" s="21">
        <f t="shared" si="5"/>
        <v>2216.2000000000003</v>
      </c>
      <c r="D88" s="22">
        <v>2080.4</v>
      </c>
      <c r="E88" s="22">
        <v>135.80000000000001</v>
      </c>
      <c r="F88" s="244">
        <v>12435.2</v>
      </c>
      <c r="G88" s="244">
        <f>'[1]Table 1.3.4'!J33</f>
        <v>112.3</v>
      </c>
      <c r="H88" s="244">
        <f>'[1]Table 1.3.4'!K33</f>
        <v>49.2</v>
      </c>
      <c r="I88" s="244">
        <v>513.79999999999995</v>
      </c>
      <c r="J88" s="22">
        <v>396.6</v>
      </c>
      <c r="K88" s="21">
        <f t="shared" si="6"/>
        <v>11686.300000000001</v>
      </c>
      <c r="L88" s="22">
        <v>11243.7</v>
      </c>
      <c r="M88" s="21">
        <f t="shared" si="7"/>
        <v>10494.800000000001</v>
      </c>
      <c r="N88" s="22">
        <v>6377.5</v>
      </c>
      <c r="O88" s="22">
        <v>5186.3999999999996</v>
      </c>
      <c r="P88" s="22">
        <v>1740.6</v>
      </c>
      <c r="Q88" s="23">
        <v>1464262</v>
      </c>
    </row>
    <row r="89" spans="1:17" ht="12.75" customHeight="1">
      <c r="A89" s="58">
        <v>2011</v>
      </c>
      <c r="B89" s="22">
        <v>10711.8</v>
      </c>
      <c r="C89" s="21">
        <f t="shared" si="5"/>
        <v>2323.1000000000004</v>
      </c>
      <c r="D89" s="22">
        <v>2179.8000000000002</v>
      </c>
      <c r="E89" s="22">
        <v>143.30000000000001</v>
      </c>
      <c r="F89" s="244">
        <v>13191.3</v>
      </c>
      <c r="G89" s="244">
        <f>'[1]Table 1.3.4'!J34</f>
        <v>117.4</v>
      </c>
      <c r="H89" s="244">
        <f>'[1]Table 1.3.4'!K34</f>
        <v>51.2</v>
      </c>
      <c r="I89" s="244">
        <v>537</v>
      </c>
      <c r="J89" s="22">
        <v>405.5</v>
      </c>
      <c r="K89" s="21">
        <f t="shared" si="6"/>
        <v>12417.4</v>
      </c>
      <c r="L89" s="22">
        <v>11787.4</v>
      </c>
      <c r="M89" s="21">
        <f t="shared" si="7"/>
        <v>11013.5</v>
      </c>
      <c r="N89" s="22">
        <v>6638.7</v>
      </c>
      <c r="O89" s="22">
        <v>5444.3</v>
      </c>
      <c r="P89" s="22">
        <v>1877.7</v>
      </c>
      <c r="Q89" s="23">
        <v>1473131</v>
      </c>
    </row>
    <row r="90" spans="1:17" ht="12.75" customHeight="1">
      <c r="A90" s="58">
        <v>2012</v>
      </c>
      <c r="B90" s="22">
        <v>11149.6</v>
      </c>
      <c r="C90" s="21">
        <f t="shared" si="5"/>
        <v>2434.1999999999998</v>
      </c>
      <c r="D90" s="22">
        <v>2279.6999999999998</v>
      </c>
      <c r="E90" s="22">
        <v>154.5</v>
      </c>
      <c r="F90" s="244">
        <v>13743.8</v>
      </c>
      <c r="G90" s="328">
        <f>F211</f>
        <v>123.81122103861574</v>
      </c>
      <c r="H90" s="328">
        <f>J211</f>
        <v>52.865425667971095</v>
      </c>
      <c r="I90" s="244">
        <v>560.79999999999995</v>
      </c>
      <c r="J90" s="22">
        <v>417.1</v>
      </c>
      <c r="K90" s="21">
        <f t="shared" si="6"/>
        <v>12942.576646706586</v>
      </c>
      <c r="L90" s="22">
        <v>12245.8</v>
      </c>
      <c r="M90" s="21">
        <f t="shared" si="7"/>
        <v>11444.576646706586</v>
      </c>
      <c r="N90" s="22">
        <v>6926.8</v>
      </c>
      <c r="O90" s="22">
        <v>5729.4</v>
      </c>
      <c r="P90" s="22">
        <v>2009.5</v>
      </c>
      <c r="Q90" s="23">
        <v>1755231</v>
      </c>
    </row>
    <row r="91" spans="1:17" ht="12.75" customHeight="1">
      <c r="A91" s="58">
        <v>2013</v>
      </c>
      <c r="B91" s="21">
        <f>B90*('Table 1.3.1'!B91/'Table 1.3.1'!B90)</f>
        <v>11474.311139434107</v>
      </c>
      <c r="C91" s="21">
        <f t="shared" si="5"/>
        <v>2531.1692975855194</v>
      </c>
      <c r="D91" s="21">
        <f t="shared" ref="D91:E97" si="8">D90*(1+E129)</f>
        <v>2370.1521854191064</v>
      </c>
      <c r="E91" s="21">
        <f t="shared" si="8"/>
        <v>161.01711216641297</v>
      </c>
      <c r="F91" s="328">
        <f>E152</f>
        <v>13919.126919863997</v>
      </c>
      <c r="G91" s="328">
        <f t="shared" ref="G91:G99" si="9">F212</f>
        <v>127.09016047210598</v>
      </c>
      <c r="H91" s="328">
        <f t="shared" ref="H91:H99" si="10">J212</f>
        <v>68.768522162624592</v>
      </c>
      <c r="I91" s="328">
        <f>I90*('Table 1.1.8'!I60/'Table 1.1.8'!I59)</f>
        <v>568.59949272578399</v>
      </c>
      <c r="J91" s="328">
        <f>J90*('Table 1.1.8'!J60/'Table 1.1.8'!J59)</f>
        <v>446.70459162797715</v>
      </c>
      <c r="K91" s="21">
        <f t="shared" si="6"/>
        <v>13099.681518144967</v>
      </c>
      <c r="L91" s="21">
        <f t="shared" ref="L91:L99" si="11">G152</f>
        <v>12402.017232153446</v>
      </c>
      <c r="M91" s="21">
        <f t="shared" si="7"/>
        <v>11582.571830434417</v>
      </c>
      <c r="N91" s="21">
        <f t="shared" ref="N91:N99" si="12">N90*C235/C234</f>
        <v>7040.3147133645416</v>
      </c>
      <c r="O91" s="21">
        <f t="shared" ref="O91:O98" si="13">O90*N91/N90</f>
        <v>5823.2920134478836</v>
      </c>
      <c r="P91" s="21">
        <f t="shared" ref="P91:P99" si="14">P90*G235/G234</f>
        <v>2040.5774722792223</v>
      </c>
      <c r="Q91" s="20">
        <f>Q90*P91/P90</f>
        <v>1782376.1319960845</v>
      </c>
    </row>
    <row r="92" spans="1:17" ht="12.75" customHeight="1">
      <c r="A92" s="58">
        <v>2014</v>
      </c>
      <c r="B92" s="21">
        <f>B91*('Table 1.3.1'!B92/'Table 1.3.1'!B91)</f>
        <v>11981.62788682131</v>
      </c>
      <c r="C92" s="21">
        <f t="shared" si="5"/>
        <v>2670.1209161992174</v>
      </c>
      <c r="D92" s="21">
        <f t="shared" si="8"/>
        <v>2496.3708965236474</v>
      </c>
      <c r="E92" s="21">
        <f t="shared" si="8"/>
        <v>173.75001967556977</v>
      </c>
      <c r="F92" s="328">
        <f t="shared" ref="F92:F99" si="15">E153</f>
        <v>14589.453464402024</v>
      </c>
      <c r="G92" s="328">
        <f t="shared" si="9"/>
        <v>134.933505092632</v>
      </c>
      <c r="H92" s="328">
        <f t="shared" si="10"/>
        <v>72.030566763655457</v>
      </c>
      <c r="I92" s="328">
        <f>I91*('Table 1.1.8'!I61/'Table 1.1.8'!I60)</f>
        <v>603.73248117915978</v>
      </c>
      <c r="J92" s="328">
        <f>J91*('Table 1.1.8'!J61/'Table 1.1.8'!J60)</f>
        <v>527.27737405513733</v>
      </c>
      <c r="K92" s="21">
        <f t="shared" si="6"/>
        <v>13665.407681024013</v>
      </c>
      <c r="L92" s="21">
        <f t="shared" si="11"/>
        <v>12999.281802294439</v>
      </c>
      <c r="M92" s="21">
        <f t="shared" si="7"/>
        <v>12075.236018916428</v>
      </c>
      <c r="N92" s="21">
        <f t="shared" si="12"/>
        <v>7408.6630762842042</v>
      </c>
      <c r="O92" s="21">
        <f t="shared" si="13"/>
        <v>6127.9659047847081</v>
      </c>
      <c r="P92" s="21">
        <f t="shared" si="14"/>
        <v>2179.8613658735226</v>
      </c>
      <c r="Q92" s="20">
        <f t="shared" ref="Q92:Q99" si="16">Q91*P92/P91</f>
        <v>1904035.951770863</v>
      </c>
    </row>
    <row r="93" spans="1:17" ht="12.75" customHeight="1">
      <c r="A93" s="58">
        <v>2015</v>
      </c>
      <c r="B93" s="21">
        <f>B92*('Table 1.3.1'!B93/'Table 1.3.1'!B92)</f>
        <v>12727.68192709661</v>
      </c>
      <c r="C93" s="21">
        <f t="shared" si="5"/>
        <v>2822.1688088287383</v>
      </c>
      <c r="D93" s="21">
        <f t="shared" si="8"/>
        <v>2637.3672003525385</v>
      </c>
      <c r="E93" s="21">
        <f t="shared" si="8"/>
        <v>184.80160847619979</v>
      </c>
      <c r="F93" s="328">
        <f t="shared" si="15"/>
        <v>15502.777731180593</v>
      </c>
      <c r="G93" s="328">
        <f t="shared" si="9"/>
        <v>144.83086398686822</v>
      </c>
      <c r="H93" s="328">
        <f t="shared" si="10"/>
        <v>77.276920444269564</v>
      </c>
      <c r="I93" s="328">
        <f>I92*('Table 1.1.8'!I62/'Table 1.1.8'!I61)</f>
        <v>634.11665315228799</v>
      </c>
      <c r="J93" s="328">
        <f>J92*('Table 1.1.8'!J62/'Table 1.1.8'!J61)</f>
        <v>565.71242457935261</v>
      </c>
      <c r="K93" s="21">
        <f t="shared" si="6"/>
        <v>14525.05643788009</v>
      </c>
      <c r="L93" s="21">
        <f t="shared" si="11"/>
        <v>13813.058654847375</v>
      </c>
      <c r="M93" s="21">
        <f t="shared" si="7"/>
        <v>12835.337361546872</v>
      </c>
      <c r="N93" s="21">
        <f t="shared" si="12"/>
        <v>7888.7564014163045</v>
      </c>
      <c r="O93" s="21">
        <f t="shared" si="13"/>
        <v>6525.067986122679</v>
      </c>
      <c r="P93" s="21">
        <f t="shared" si="14"/>
        <v>2346.1637634110239</v>
      </c>
      <c r="Q93" s="20">
        <f t="shared" si="16"/>
        <v>2049295.5305377932</v>
      </c>
    </row>
    <row r="94" spans="1:17" ht="12.75" customHeight="1">
      <c r="A94" s="58">
        <v>2016</v>
      </c>
      <c r="B94" s="21">
        <f>B93*('Table 1.3.1'!B94/'Table 1.3.1'!B93)</f>
        <v>13561.841396890137</v>
      </c>
      <c r="C94" s="21">
        <f t="shared" si="5"/>
        <v>2988.1504081898943</v>
      </c>
      <c r="D94" s="21">
        <f t="shared" si="8"/>
        <v>2791.1208171245903</v>
      </c>
      <c r="E94" s="21">
        <f t="shared" si="8"/>
        <v>197.02959106530403</v>
      </c>
      <c r="F94" s="328">
        <f t="shared" si="15"/>
        <v>16567.758082084307</v>
      </c>
      <c r="G94" s="328">
        <f t="shared" si="9"/>
        <v>156.18884120121876</v>
      </c>
      <c r="H94" s="328">
        <f t="shared" si="10"/>
        <v>82.07223664309268</v>
      </c>
      <c r="I94" s="328">
        <f>I93*('Table 1.1.8'!I63/'Table 1.1.8'!I62)</f>
        <v>672.79523273142615</v>
      </c>
      <c r="J94" s="328">
        <f>J93*('Table 1.1.8'!J63/'Table 1.1.8'!J62)</f>
        <v>612.67506073985737</v>
      </c>
      <c r="K94" s="21">
        <f t="shared" si="6"/>
        <v>15520.548866457335</v>
      </c>
      <c r="L94" s="21">
        <f t="shared" si="11"/>
        <v>14761.961897116376</v>
      </c>
      <c r="M94" s="21">
        <f t="shared" si="7"/>
        <v>13714.752681489404</v>
      </c>
      <c r="N94" s="21">
        <f t="shared" si="12"/>
        <v>8423.0414698775257</v>
      </c>
      <c r="O94" s="21">
        <f t="shared" si="13"/>
        <v>6966.9939651088944</v>
      </c>
      <c r="P94" s="21">
        <f t="shared" si="14"/>
        <v>2534.2565893018195</v>
      </c>
      <c r="Q94" s="20">
        <f t="shared" si="16"/>
        <v>2213588.3192320587</v>
      </c>
    </row>
    <row r="95" spans="1:17" ht="12.75" customHeight="1">
      <c r="A95" s="58">
        <v>2017</v>
      </c>
      <c r="B95" s="21">
        <f>B94*('Table 1.3.1'!B95/'Table 1.3.1'!B94)</f>
        <v>14369.711343359675</v>
      </c>
      <c r="C95" s="21">
        <f t="shared" si="5"/>
        <v>3149.2075214323595</v>
      </c>
      <c r="D95" s="21">
        <f t="shared" si="8"/>
        <v>2941.798515038296</v>
      </c>
      <c r="E95" s="21">
        <f t="shared" si="8"/>
        <v>207.40900639406365</v>
      </c>
      <c r="F95" s="328">
        <f t="shared" si="15"/>
        <v>17700.34782578098</v>
      </c>
      <c r="G95" s="328">
        <f t="shared" si="9"/>
        <v>167.55977969918166</v>
      </c>
      <c r="H95" s="328">
        <f t="shared" si="10"/>
        <v>88.873753234950129</v>
      </c>
      <c r="I95" s="328">
        <f>I94*('Table 1.1.8'!I64/'Table 1.1.8'!I63)</f>
        <v>717.64925149702822</v>
      </c>
      <c r="J95" s="328">
        <f>J94*('Table 1.1.8'!J64/'Table 1.1.8'!J63)</f>
        <v>654.96690727522753</v>
      </c>
      <c r="K95" s="21">
        <f t="shared" si="6"/>
        <v>16584.165199942861</v>
      </c>
      <c r="L95" s="21">
        <f t="shared" si="11"/>
        <v>15771.10547337336</v>
      </c>
      <c r="M95" s="21">
        <f t="shared" si="7"/>
        <v>14654.922847535241</v>
      </c>
      <c r="N95" s="21">
        <f t="shared" si="12"/>
        <v>8959.5875531807833</v>
      </c>
      <c r="O95" s="21">
        <f t="shared" si="13"/>
        <v>7410.7901090249425</v>
      </c>
      <c r="P95" s="21">
        <f t="shared" si="14"/>
        <v>2612.8873436664699</v>
      </c>
      <c r="Q95" s="20">
        <f t="shared" si="16"/>
        <v>2282269.6517098988</v>
      </c>
    </row>
    <row r="96" spans="1:17" ht="12.75" customHeight="1">
      <c r="A96" s="58">
        <v>2018</v>
      </c>
      <c r="B96" s="21">
        <f>B95*('Table 1.3.1'!B96/'Table 1.3.1'!B95)</f>
        <v>15047.554728524088</v>
      </c>
      <c r="C96" s="21">
        <f t="shared" si="5"/>
        <v>3315.0654349278557</v>
      </c>
      <c r="D96" s="21">
        <f t="shared" si="8"/>
        <v>3097.2643874728501</v>
      </c>
      <c r="E96" s="21">
        <f t="shared" si="8"/>
        <v>217.80104745500572</v>
      </c>
      <c r="F96" s="328">
        <f t="shared" si="15"/>
        <v>18744.093254427997</v>
      </c>
      <c r="G96" s="328">
        <f t="shared" si="9"/>
        <v>177.85573205944311</v>
      </c>
      <c r="H96" s="328">
        <f t="shared" si="10"/>
        <v>97.759836802832382</v>
      </c>
      <c r="I96" s="328">
        <f>I95*('Table 1.1.8'!I65/'Table 1.1.8'!I64)</f>
        <v>768.13854440269722</v>
      </c>
      <c r="J96" s="328">
        <f>J95*('Table 1.1.8'!J65/'Table 1.1.8'!J64)</f>
        <v>699.82014977303402</v>
      </c>
      <c r="K96" s="21">
        <f t="shared" si="6"/>
        <v>17551.750129114545</v>
      </c>
      <c r="L96" s="21">
        <f t="shared" si="11"/>
        <v>16701.08828526859</v>
      </c>
      <c r="M96" s="21">
        <f t="shared" si="7"/>
        <v>15508.745159955139</v>
      </c>
      <c r="N96" s="21">
        <f t="shared" si="12"/>
        <v>9428.9479435173234</v>
      </c>
      <c r="O96" s="21">
        <f t="shared" si="13"/>
        <v>7799.0146023543539</v>
      </c>
      <c r="P96" s="21">
        <f t="shared" si="14"/>
        <v>2602.8496561867946</v>
      </c>
      <c r="Q96" s="20">
        <f t="shared" si="16"/>
        <v>2273502.0676180162</v>
      </c>
    </row>
    <row r="97" spans="1:17" ht="12.75" customHeight="1">
      <c r="A97" s="58">
        <v>2019</v>
      </c>
      <c r="B97" s="21">
        <f>B96*('Table 1.3.1'!B97/'Table 1.3.1'!B96)</f>
        <v>15723.266530716288</v>
      </c>
      <c r="C97" s="21">
        <f t="shared" si="5"/>
        <v>3505.3276316360061</v>
      </c>
      <c r="D97" s="21">
        <f t="shared" si="8"/>
        <v>3274.7001758000642</v>
      </c>
      <c r="E97" s="21">
        <f t="shared" si="8"/>
        <v>230.62745583594182</v>
      </c>
      <c r="F97" s="328">
        <f t="shared" si="15"/>
        <v>19671.823186022229</v>
      </c>
      <c r="G97" s="328">
        <f t="shared" si="9"/>
        <v>188.14746070258741</v>
      </c>
      <c r="H97" s="328">
        <f t="shared" si="10"/>
        <v>106.65014408783179</v>
      </c>
      <c r="I97" s="328">
        <f>I96*('Table 1.1.8'!I66/'Table 1.1.8'!I65)</f>
        <v>822.09843939171742</v>
      </c>
      <c r="J97" s="328">
        <f>J96*('Table 1.1.8'!J66/'Table 1.1.8'!J65)</f>
        <v>749.00719403740663</v>
      </c>
      <c r="K97" s="21">
        <f t="shared" si="6"/>
        <v>18395.515157383525</v>
      </c>
      <c r="L97" s="21">
        <f t="shared" si="11"/>
        <v>17527.700662945557</v>
      </c>
      <c r="M97" s="21">
        <f t="shared" si="7"/>
        <v>16251.392634306852</v>
      </c>
      <c r="N97" s="21">
        <f t="shared" si="12"/>
        <v>9887.6294831342602</v>
      </c>
      <c r="O97" s="21">
        <f t="shared" si="13"/>
        <v>8178.4062425173834</v>
      </c>
      <c r="P97" s="21">
        <f t="shared" si="14"/>
        <v>2601.993295487749</v>
      </c>
      <c r="Q97" s="20">
        <f t="shared" si="16"/>
        <v>2272754.0652063983</v>
      </c>
    </row>
    <row r="98" spans="1:17" ht="12.75" customHeight="1">
      <c r="A98" s="58">
        <v>2020</v>
      </c>
      <c r="B98" s="21">
        <f>B97*('Table 1.3.1'!B98/'Table 1.3.1'!B97)</f>
        <v>16412.478358399185</v>
      </c>
      <c r="C98" s="21">
        <f t="shared" si="5"/>
        <v>3706.5101063039665</v>
      </c>
      <c r="D98" s="21">
        <f>D97*D97/D96</f>
        <v>3462.3008887319193</v>
      </c>
      <c r="E98" s="21">
        <f>E97*E97/E96</f>
        <v>244.20921757204732</v>
      </c>
      <c r="F98" s="328">
        <f t="shared" si="15"/>
        <v>20672.436058399675</v>
      </c>
      <c r="G98" s="328">
        <f t="shared" si="9"/>
        <v>198.8529859923234</v>
      </c>
      <c r="H98" s="328">
        <f t="shared" si="10"/>
        <v>115.12665472623951</v>
      </c>
      <c r="I98" s="328">
        <f>I97*('Table 1.1.8'!I67/'Table 1.1.8'!I66)</f>
        <v>883.00283551963321</v>
      </c>
      <c r="J98" s="328">
        <f>J97*('Table 1.1.8'!J67/'Table 1.1.8'!J66)</f>
        <v>803.59553154050025</v>
      </c>
      <c r="K98" s="21">
        <f t="shared" si="6"/>
        <v>19299.817332058101</v>
      </c>
      <c r="L98" s="21">
        <f t="shared" si="11"/>
        <v>18419.252134340637</v>
      </c>
      <c r="M98" s="21">
        <f t="shared" si="7"/>
        <v>17046.633407999063</v>
      </c>
      <c r="N98" s="21">
        <f t="shared" si="12"/>
        <v>10358.75812228746</v>
      </c>
      <c r="O98" s="21">
        <f t="shared" si="13"/>
        <v>8568.0933166590276</v>
      </c>
      <c r="P98" s="21">
        <f t="shared" si="14"/>
        <v>2631.9757661590538</v>
      </c>
      <c r="Q98" s="20">
        <f t="shared" si="16"/>
        <v>2298942.7499433304</v>
      </c>
    </row>
    <row r="99" spans="1:17" ht="12.75" customHeight="1">
      <c r="A99" s="58">
        <v>2021</v>
      </c>
      <c r="B99" s="21">
        <f>B98*('Table 1.3.1'!B99/'Table 1.3.1'!B98)</f>
        <v>17118.742849859802</v>
      </c>
      <c r="C99" s="21">
        <f>D99+E99</f>
        <v>3919.2396692901102</v>
      </c>
      <c r="D99" s="21">
        <f>D98*D98/D97</f>
        <v>3660.648853504606</v>
      </c>
      <c r="E99" s="21">
        <f>E98*E98/E97</f>
        <v>258.59081578550428</v>
      </c>
      <c r="F99" s="328">
        <f t="shared" si="15"/>
        <v>21677.994960988253</v>
      </c>
      <c r="G99" s="328">
        <f t="shared" si="9"/>
        <v>209.90112594255666</v>
      </c>
      <c r="H99" s="328">
        <f t="shared" si="10"/>
        <v>125.27971238079667</v>
      </c>
      <c r="I99" s="328">
        <f>I98*('Table 1.1.8'!I68/'Table 1.1.8'!I67)</f>
        <v>947.89274665068831</v>
      </c>
      <c r="J99" s="328">
        <f>J98*('Table 1.1.8'!J68/'Table 1.1.8'!J67)</f>
        <v>862.9471432172794</v>
      </c>
      <c r="K99" s="21">
        <f t="shared" si="6"/>
        <v>20202.335909443642</v>
      </c>
      <c r="L99" s="21">
        <f t="shared" si="11"/>
        <v>19315.210545356455</v>
      </c>
      <c r="M99" s="21">
        <f t="shared" si="7"/>
        <v>17839.551493811843</v>
      </c>
      <c r="N99" s="21">
        <f t="shared" si="12"/>
        <v>10843.8346940847</v>
      </c>
      <c r="O99" s="21">
        <f>O98*N99/N98</f>
        <v>8969.3172166496606</v>
      </c>
      <c r="P99" s="21">
        <f t="shared" si="14"/>
        <v>2681.3798756191527</v>
      </c>
      <c r="Q99" s="20">
        <f t="shared" si="16"/>
        <v>2342095.5861970051</v>
      </c>
    </row>
    <row r="100" spans="1:17" ht="18" customHeight="1">
      <c r="A100" s="123" t="s">
        <v>23</v>
      </c>
      <c r="B100" s="27" t="s">
        <v>24</v>
      </c>
      <c r="C100" s="27" t="s">
        <v>25</v>
      </c>
      <c r="D100" s="27" t="s">
        <v>26</v>
      </c>
      <c r="E100" s="27" t="s">
        <v>27</v>
      </c>
      <c r="F100" s="63" t="s">
        <v>28</v>
      </c>
      <c r="G100" s="27" t="s">
        <v>29</v>
      </c>
      <c r="H100" s="27" t="s">
        <v>30</v>
      </c>
      <c r="I100" s="27" t="s">
        <v>31</v>
      </c>
      <c r="J100" s="27" t="s">
        <v>32</v>
      </c>
      <c r="K100" s="27" t="s">
        <v>33</v>
      </c>
      <c r="L100" s="27" t="s">
        <v>34</v>
      </c>
      <c r="M100" s="27" t="s">
        <v>35</v>
      </c>
      <c r="N100" s="27" t="s">
        <v>614</v>
      </c>
      <c r="O100" s="27" t="s">
        <v>615</v>
      </c>
      <c r="P100" s="27" t="s">
        <v>616</v>
      </c>
      <c r="Q100" s="27" t="s">
        <v>617</v>
      </c>
    </row>
    <row r="101" spans="1:17" s="93" customFormat="1" ht="18" customHeight="1">
      <c r="A101" s="31" t="s">
        <v>36</v>
      </c>
      <c r="B101" s="32">
        <v>41514</v>
      </c>
      <c r="C101" s="32"/>
      <c r="D101" s="32"/>
      <c r="E101" s="32"/>
      <c r="F101" s="32"/>
      <c r="G101" s="32"/>
      <c r="H101" s="32"/>
      <c r="I101" s="31"/>
      <c r="J101" s="31"/>
      <c r="K101" s="31"/>
      <c r="L101" s="31"/>
      <c r="M101" s="31"/>
      <c r="N101" s="31"/>
      <c r="O101" s="31"/>
      <c r="P101" s="31"/>
      <c r="Q101" s="31"/>
    </row>
    <row r="102" spans="1:17" ht="18" customHeight="1">
      <c r="A102" s="175" t="s">
        <v>37</v>
      </c>
      <c r="B102" s="114" t="s">
        <v>38</v>
      </c>
      <c r="C102" s="114"/>
      <c r="D102" s="114"/>
      <c r="E102" s="114"/>
      <c r="F102" s="114"/>
      <c r="G102" s="114"/>
      <c r="H102" s="114"/>
      <c r="I102" s="114"/>
      <c r="J102" s="114"/>
      <c r="K102" s="114"/>
      <c r="L102" s="114"/>
      <c r="M102" s="114"/>
      <c r="N102" s="114"/>
      <c r="O102" s="114"/>
      <c r="P102" s="114"/>
      <c r="Q102" s="114"/>
    </row>
    <row r="103" spans="1:17" s="38" customFormat="1" ht="18" customHeight="1">
      <c r="A103" s="35" t="s">
        <v>39</v>
      </c>
      <c r="B103" s="36"/>
      <c r="C103" s="36"/>
      <c r="D103" s="36"/>
      <c r="E103" s="36"/>
      <c r="F103" s="36"/>
      <c r="G103" s="36"/>
      <c r="H103" s="36"/>
      <c r="I103" s="36"/>
      <c r="J103" s="36"/>
      <c r="K103" s="36"/>
      <c r="L103" s="36"/>
      <c r="M103" s="36"/>
      <c r="N103" s="36"/>
      <c r="O103" s="36"/>
      <c r="P103" s="36"/>
      <c r="Q103" s="36"/>
    </row>
    <row r="104" spans="1:17" s="41" customFormat="1" ht="24.75" customHeight="1">
      <c r="A104" s="39" t="str">
        <f>B100</f>
        <v>[A]</v>
      </c>
      <c r="B104" s="40" t="s">
        <v>618</v>
      </c>
      <c r="C104" s="40"/>
      <c r="D104" s="40"/>
      <c r="E104" s="40"/>
      <c r="F104" s="40"/>
      <c r="G104" s="40"/>
      <c r="H104" s="40"/>
      <c r="I104" s="40"/>
      <c r="J104" s="40"/>
      <c r="K104" s="40"/>
      <c r="L104" s="40"/>
      <c r="M104" s="40"/>
      <c r="N104" s="40"/>
      <c r="O104" s="40"/>
      <c r="P104" s="40"/>
      <c r="Q104" s="40"/>
    </row>
    <row r="105" spans="1:17" ht="18" customHeight="1">
      <c r="A105" s="39" t="str">
        <f>C100</f>
        <v>[B]</v>
      </c>
      <c r="B105" s="40" t="s">
        <v>619</v>
      </c>
      <c r="C105" s="40"/>
      <c r="D105" s="40"/>
      <c r="E105" s="40"/>
      <c r="F105" s="40"/>
      <c r="G105" s="40"/>
      <c r="H105" s="40"/>
      <c r="I105" s="40"/>
      <c r="J105" s="40"/>
      <c r="K105" s="40"/>
      <c r="L105" s="40"/>
      <c r="M105" s="40"/>
      <c r="N105" s="40"/>
      <c r="O105" s="40"/>
      <c r="P105" s="40"/>
      <c r="Q105" s="40"/>
    </row>
    <row r="106" spans="1:17" s="41" customFormat="1" ht="24.75" customHeight="1">
      <c r="A106" s="39" t="str">
        <f>D100</f>
        <v>[C]</v>
      </c>
      <c r="B106" s="40" t="s">
        <v>620</v>
      </c>
      <c r="C106" s="40"/>
      <c r="D106" s="40"/>
      <c r="E106" s="40"/>
      <c r="F106" s="40"/>
      <c r="G106" s="40"/>
      <c r="H106" s="40"/>
      <c r="I106" s="40"/>
      <c r="J106" s="40"/>
      <c r="K106" s="40"/>
      <c r="L106" s="40"/>
      <c r="M106" s="40"/>
      <c r="N106" s="40"/>
      <c r="O106" s="40"/>
      <c r="P106" s="40"/>
      <c r="Q106" s="40"/>
    </row>
    <row r="107" spans="1:17" s="41" customFormat="1" ht="24.75" customHeight="1">
      <c r="A107" s="39" t="str">
        <f>E100</f>
        <v>[D]</v>
      </c>
      <c r="B107" s="40" t="s">
        <v>621</v>
      </c>
      <c r="C107" s="40"/>
      <c r="D107" s="40"/>
      <c r="E107" s="40"/>
      <c r="F107" s="40"/>
      <c r="G107" s="40"/>
      <c r="H107" s="40"/>
      <c r="I107" s="40"/>
      <c r="J107" s="40"/>
      <c r="K107" s="40"/>
      <c r="L107" s="40"/>
      <c r="M107" s="40"/>
      <c r="N107" s="40"/>
      <c r="O107" s="40"/>
      <c r="P107" s="40"/>
      <c r="Q107" s="40"/>
    </row>
    <row r="108" spans="1:17" s="41" customFormat="1" ht="24.75" customHeight="1">
      <c r="A108" s="39" t="str">
        <f>F100</f>
        <v>[E]</v>
      </c>
      <c r="B108" s="40" t="s">
        <v>622</v>
      </c>
      <c r="C108" s="40"/>
      <c r="D108" s="40"/>
      <c r="E108" s="40"/>
      <c r="F108" s="40"/>
      <c r="G108" s="40"/>
      <c r="H108" s="40"/>
      <c r="I108" s="40"/>
      <c r="J108" s="40"/>
      <c r="K108" s="40"/>
      <c r="L108" s="40"/>
      <c r="M108" s="40"/>
      <c r="N108" s="40"/>
      <c r="O108" s="40"/>
      <c r="P108" s="40"/>
      <c r="Q108" s="40"/>
    </row>
    <row r="109" spans="1:17" s="41" customFormat="1" ht="36" customHeight="1">
      <c r="A109" s="39" t="str">
        <f>G100</f>
        <v>[F]</v>
      </c>
      <c r="B109" s="40" t="s">
        <v>623</v>
      </c>
      <c r="C109" s="40"/>
      <c r="D109" s="40"/>
      <c r="E109" s="40"/>
      <c r="F109" s="40"/>
      <c r="G109" s="40"/>
      <c r="H109" s="40"/>
      <c r="I109" s="40"/>
      <c r="J109" s="40"/>
      <c r="K109" s="40"/>
      <c r="L109" s="40"/>
      <c r="M109" s="40"/>
      <c r="N109" s="40"/>
      <c r="O109" s="40"/>
      <c r="P109" s="40"/>
      <c r="Q109" s="40"/>
    </row>
    <row r="110" spans="1:17" s="41" customFormat="1" ht="36" customHeight="1">
      <c r="A110" s="39" t="str">
        <f>H100</f>
        <v>[G]</v>
      </c>
      <c r="B110" s="40" t="s">
        <v>624</v>
      </c>
      <c r="C110" s="40"/>
      <c r="D110" s="40"/>
      <c r="E110" s="40"/>
      <c r="F110" s="40"/>
      <c r="G110" s="40"/>
      <c r="H110" s="40"/>
      <c r="I110" s="40"/>
      <c r="J110" s="40"/>
      <c r="K110" s="40"/>
      <c r="L110" s="40"/>
      <c r="M110" s="40"/>
      <c r="N110" s="40"/>
      <c r="O110" s="40"/>
      <c r="P110" s="40"/>
      <c r="Q110" s="40"/>
    </row>
    <row r="111" spans="1:17" s="41" customFormat="1" ht="24.75" customHeight="1">
      <c r="A111" s="39" t="str">
        <f>I100</f>
        <v>[H]</v>
      </c>
      <c r="B111" s="40" t="s">
        <v>625</v>
      </c>
      <c r="C111" s="40"/>
      <c r="D111" s="40"/>
      <c r="E111" s="40"/>
      <c r="F111" s="40"/>
      <c r="G111" s="40"/>
      <c r="H111" s="40"/>
      <c r="I111" s="40"/>
      <c r="J111" s="40"/>
      <c r="K111" s="40"/>
      <c r="L111" s="40"/>
      <c r="M111" s="40"/>
      <c r="N111" s="40"/>
      <c r="O111" s="40"/>
      <c r="P111" s="40"/>
      <c r="Q111" s="40"/>
    </row>
    <row r="112" spans="1:17" s="41" customFormat="1" ht="24.75" customHeight="1">
      <c r="A112" s="39" t="str">
        <f>J100</f>
        <v>[I]</v>
      </c>
      <c r="B112" s="40" t="s">
        <v>626</v>
      </c>
      <c r="C112" s="40"/>
      <c r="D112" s="40"/>
      <c r="E112" s="40"/>
      <c r="F112" s="40"/>
      <c r="G112" s="40"/>
      <c r="H112" s="40"/>
      <c r="I112" s="40"/>
      <c r="J112" s="40"/>
      <c r="K112" s="40"/>
      <c r="L112" s="40"/>
      <c r="M112" s="40"/>
      <c r="N112" s="40"/>
      <c r="O112" s="40"/>
      <c r="P112" s="40"/>
      <c r="Q112" s="40"/>
    </row>
    <row r="113" spans="1:17" s="41" customFormat="1" ht="48" customHeight="1">
      <c r="A113" s="39" t="str">
        <f>K100</f>
        <v>[J]</v>
      </c>
      <c r="B113" s="40" t="s">
        <v>627</v>
      </c>
      <c r="C113" s="40"/>
      <c r="D113" s="40"/>
      <c r="E113" s="40"/>
      <c r="F113" s="40"/>
      <c r="G113" s="40"/>
      <c r="H113" s="40"/>
      <c r="I113" s="40"/>
      <c r="J113" s="40"/>
      <c r="K113" s="40"/>
      <c r="L113" s="40"/>
      <c r="M113" s="40"/>
      <c r="N113" s="40"/>
      <c r="O113" s="40"/>
      <c r="P113" s="40"/>
      <c r="Q113" s="40"/>
    </row>
    <row r="114" spans="1:17" s="41" customFormat="1" ht="24.75" customHeight="1">
      <c r="A114" s="39" t="str">
        <f>L100</f>
        <v>[K]</v>
      </c>
      <c r="B114" s="40" t="s">
        <v>628</v>
      </c>
      <c r="C114" s="40"/>
      <c r="D114" s="40"/>
      <c r="E114" s="40"/>
      <c r="F114" s="40"/>
      <c r="G114" s="40"/>
      <c r="H114" s="40"/>
      <c r="I114" s="40"/>
      <c r="J114" s="40"/>
      <c r="K114" s="40"/>
      <c r="L114" s="40"/>
      <c r="M114" s="40"/>
      <c r="N114" s="40"/>
      <c r="O114" s="40"/>
      <c r="P114" s="40"/>
      <c r="Q114" s="40"/>
    </row>
    <row r="115" spans="1:17" s="41" customFormat="1" ht="24.75" customHeight="1">
      <c r="A115" s="39" t="str">
        <f>M100</f>
        <v>[L]</v>
      </c>
      <c r="B115" s="40" t="s">
        <v>629</v>
      </c>
      <c r="C115" s="40"/>
      <c r="D115" s="40"/>
      <c r="E115" s="40"/>
      <c r="F115" s="40"/>
      <c r="G115" s="40"/>
      <c r="H115" s="40"/>
      <c r="I115" s="40"/>
      <c r="J115" s="40"/>
      <c r="K115" s="40"/>
      <c r="L115" s="40"/>
      <c r="M115" s="40"/>
      <c r="N115" s="40"/>
      <c r="O115" s="40"/>
      <c r="P115" s="40"/>
      <c r="Q115" s="40"/>
    </row>
    <row r="116" spans="1:17" s="41" customFormat="1" ht="36" customHeight="1">
      <c r="A116" s="39" t="str">
        <f>N100</f>
        <v>[M]</v>
      </c>
      <c r="B116" s="40" t="s">
        <v>630</v>
      </c>
      <c r="C116" s="40"/>
      <c r="D116" s="40"/>
      <c r="E116" s="40"/>
      <c r="F116" s="40"/>
      <c r="G116" s="40"/>
      <c r="H116" s="40"/>
      <c r="I116" s="40"/>
      <c r="J116" s="40"/>
      <c r="K116" s="40"/>
      <c r="L116" s="40"/>
      <c r="M116" s="40"/>
      <c r="N116" s="40"/>
      <c r="O116" s="40"/>
      <c r="P116" s="40"/>
      <c r="Q116" s="40"/>
    </row>
    <row r="117" spans="1:17" s="41" customFormat="1" ht="24.75" customHeight="1">
      <c r="A117" s="39" t="str">
        <f>O100</f>
        <v>[N]</v>
      </c>
      <c r="B117" s="40" t="s">
        <v>631</v>
      </c>
      <c r="C117" s="40"/>
      <c r="D117" s="40"/>
      <c r="E117" s="40"/>
      <c r="F117" s="40"/>
      <c r="G117" s="40"/>
      <c r="H117" s="40"/>
      <c r="I117" s="40"/>
      <c r="J117" s="40"/>
      <c r="K117" s="40"/>
      <c r="L117" s="40"/>
      <c r="M117" s="40"/>
      <c r="N117" s="40"/>
      <c r="O117" s="40"/>
      <c r="P117" s="40"/>
      <c r="Q117" s="40"/>
    </row>
    <row r="118" spans="1:17" s="41" customFormat="1" ht="24.75" customHeight="1">
      <c r="A118" s="39" t="str">
        <f>P100</f>
        <v>[O]</v>
      </c>
      <c r="B118" s="40" t="s">
        <v>632</v>
      </c>
      <c r="C118" s="40"/>
      <c r="D118" s="40"/>
      <c r="E118" s="40"/>
      <c r="F118" s="40"/>
      <c r="G118" s="40"/>
      <c r="H118" s="40"/>
      <c r="I118" s="40"/>
      <c r="J118" s="40"/>
      <c r="K118" s="40"/>
      <c r="L118" s="40"/>
      <c r="M118" s="40"/>
      <c r="N118" s="40"/>
      <c r="O118" s="40"/>
      <c r="P118" s="40"/>
      <c r="Q118" s="40"/>
    </row>
    <row r="119" spans="1:17" s="41" customFormat="1" ht="24.75" customHeight="1">
      <c r="A119" s="39" t="str">
        <f>Q100</f>
        <v>[P]</v>
      </c>
      <c r="B119" s="40" t="s">
        <v>633</v>
      </c>
      <c r="C119" s="40"/>
      <c r="D119" s="40"/>
      <c r="E119" s="40"/>
      <c r="F119" s="40"/>
      <c r="G119" s="40"/>
      <c r="H119" s="40"/>
      <c r="I119" s="40"/>
      <c r="J119" s="40"/>
      <c r="K119" s="40"/>
      <c r="L119" s="40"/>
      <c r="M119" s="40"/>
      <c r="N119" s="40"/>
      <c r="O119" s="40"/>
      <c r="P119" s="40"/>
      <c r="Q119" s="40"/>
    </row>
    <row r="120" spans="1:17" s="38" customFormat="1" ht="19.5" customHeight="1">
      <c r="A120" s="43" t="s">
        <v>634</v>
      </c>
      <c r="B120" s="43"/>
      <c r="C120" s="43"/>
      <c r="D120" s="43"/>
      <c r="E120" s="43"/>
      <c r="F120" s="43"/>
      <c r="G120" s="43"/>
      <c r="H120" s="43"/>
      <c r="I120" s="43"/>
      <c r="J120" s="43"/>
      <c r="K120" s="43"/>
      <c r="L120" s="43"/>
      <c r="M120" s="43"/>
      <c r="N120" s="43"/>
      <c r="O120" s="43"/>
      <c r="P120" s="43"/>
      <c r="Q120" s="148"/>
    </row>
    <row r="121" spans="1:17" s="38" customFormat="1" ht="18" customHeight="1">
      <c r="A121" s="35" t="s">
        <v>53</v>
      </c>
      <c r="B121" s="329" t="s">
        <v>635</v>
      </c>
      <c r="C121" s="329"/>
      <c r="D121" s="329"/>
      <c r="E121" s="329"/>
      <c r="F121" s="329"/>
      <c r="G121" s="329"/>
      <c r="H121" s="329"/>
      <c r="I121" s="329"/>
      <c r="J121" s="329"/>
      <c r="K121" s="329"/>
      <c r="L121" s="329"/>
      <c r="M121" s="329"/>
      <c r="N121" s="329"/>
      <c r="O121" s="329"/>
      <c r="P121" s="329"/>
      <c r="Q121" s="329"/>
    </row>
    <row r="122" spans="1:17" s="49" customFormat="1" ht="36" customHeight="1">
      <c r="A122" s="12"/>
      <c r="B122" s="79" t="s">
        <v>94</v>
      </c>
      <c r="C122" s="28" t="s">
        <v>636</v>
      </c>
      <c r="D122" s="30"/>
      <c r="E122" s="28" t="s">
        <v>637</v>
      </c>
      <c r="F122" s="30"/>
      <c r="G122" s="137"/>
      <c r="H122" s="137"/>
      <c r="I122" s="48"/>
      <c r="J122" s="48"/>
      <c r="K122" s="48"/>
      <c r="L122" s="48"/>
      <c r="M122" s="48"/>
      <c r="N122" s="48"/>
      <c r="O122" s="48"/>
      <c r="P122" s="48"/>
      <c r="Q122" s="48"/>
    </row>
    <row r="123" spans="1:17" s="49" customFormat="1" ht="22.5">
      <c r="A123" s="12"/>
      <c r="B123" s="50"/>
      <c r="C123" s="81" t="s">
        <v>638</v>
      </c>
      <c r="D123" s="81" t="s">
        <v>639</v>
      </c>
      <c r="E123" s="81" t="s">
        <v>638</v>
      </c>
      <c r="F123" s="81" t="s">
        <v>639</v>
      </c>
      <c r="G123" s="62"/>
      <c r="H123" s="48"/>
      <c r="I123" s="48"/>
      <c r="J123" s="48"/>
      <c r="K123" s="48"/>
      <c r="L123" s="48"/>
      <c r="M123" s="48"/>
      <c r="N123" s="48"/>
      <c r="O123" s="48"/>
      <c r="P123" s="48"/>
      <c r="Q123" s="48"/>
    </row>
    <row r="124" spans="1:17" s="49" customFormat="1" ht="12.75">
      <c r="A124" s="12"/>
      <c r="B124" s="58">
        <v>2008</v>
      </c>
      <c r="C124" s="23">
        <f>'Table 1.1.8'!E55-'Table 1.1.8'!Y55-'Table 1.1.8'!AC55-'Table 1.1.8'!AG55</f>
        <v>1187650</v>
      </c>
      <c r="D124" s="23">
        <f>'Table 1.1.8'!H55</f>
        <v>809466</v>
      </c>
      <c r="E124" s="23"/>
      <c r="F124" s="23"/>
      <c r="G124" s="243"/>
      <c r="H124" s="48"/>
      <c r="I124" s="243"/>
      <c r="J124" s="243"/>
      <c r="K124" s="243"/>
      <c r="L124" s="243"/>
      <c r="M124" s="243"/>
      <c r="N124" s="243"/>
      <c r="O124" s="243"/>
      <c r="P124" s="48"/>
      <c r="Q124" s="48"/>
    </row>
    <row r="125" spans="1:17" s="57" customFormat="1" ht="12.75" customHeight="1">
      <c r="A125" s="12"/>
      <c r="B125" s="58">
        <v>2009</v>
      </c>
      <c r="C125" s="23">
        <f>'Table 1.1.8'!E56-'Table 1.1.8'!Y56-'Table 1.1.8'!AC56-'Table 1.1.8'!AG56</f>
        <v>1218360</v>
      </c>
      <c r="D125" s="23">
        <f>'Table 1.1.8'!H56</f>
        <v>834993</v>
      </c>
      <c r="E125" s="85">
        <f>C125/C124-1</f>
        <v>2.5857786384877679E-2</v>
      </c>
      <c r="F125" s="85">
        <f>D125/D124-1</f>
        <v>3.153560495437735E-2</v>
      </c>
      <c r="G125" s="103"/>
      <c r="I125" s="243"/>
      <c r="J125" s="243"/>
      <c r="K125" s="243"/>
      <c r="L125" s="243"/>
      <c r="M125" s="243"/>
      <c r="N125" s="243"/>
      <c r="O125" s="243"/>
      <c r="Q125" s="48"/>
    </row>
    <row r="126" spans="1:17" s="57" customFormat="1" ht="12.75" customHeight="1">
      <c r="A126" s="12"/>
      <c r="B126" s="58">
        <v>2010</v>
      </c>
      <c r="C126" s="23">
        <f>'Table 1.1.8'!E57-'Table 1.1.8'!Y57-'Table 1.1.8'!AC57-'Table 1.1.8'!AG57</f>
        <v>1259980</v>
      </c>
      <c r="D126" s="23">
        <f>'Table 1.1.8'!H57</f>
        <v>863702</v>
      </c>
      <c r="E126" s="85">
        <f t="shared" ref="E126:F137" si="17">C126/C125-1</f>
        <v>3.4160675005745489E-2</v>
      </c>
      <c r="F126" s="85">
        <f t="shared" si="17"/>
        <v>3.4382324163196643E-2</v>
      </c>
      <c r="G126" s="103"/>
      <c r="I126" s="243"/>
      <c r="J126" s="243"/>
      <c r="K126" s="243"/>
      <c r="L126" s="243"/>
      <c r="M126" s="243"/>
      <c r="N126" s="243"/>
      <c r="O126" s="243"/>
      <c r="Q126" s="48"/>
    </row>
    <row r="127" spans="1:17" s="57" customFormat="1" ht="12.75" customHeight="1">
      <c r="A127" s="12"/>
      <c r="B127" s="58">
        <v>2011</v>
      </c>
      <c r="C127" s="23">
        <f>'Table 1.1.8'!E58-'Table 1.1.8'!Y58-'Table 1.1.8'!AC58-'Table 1.1.8'!AG58</f>
        <v>1305392.0000000002</v>
      </c>
      <c r="D127" s="23">
        <f>'Table 1.1.8'!H58</f>
        <v>896348</v>
      </c>
      <c r="E127" s="85">
        <f t="shared" si="17"/>
        <v>3.6041841933999175E-2</v>
      </c>
      <c r="F127" s="85">
        <f t="shared" si="17"/>
        <v>3.7797758949267291E-2</v>
      </c>
      <c r="G127" s="103"/>
      <c r="I127" s="243"/>
      <c r="J127" s="243"/>
      <c r="K127" s="243"/>
      <c r="L127" s="243"/>
      <c r="M127" s="243"/>
      <c r="N127" s="243"/>
      <c r="O127" s="243"/>
      <c r="Q127" s="48"/>
    </row>
    <row r="128" spans="1:17" s="57" customFormat="1" ht="12.75" customHeight="1">
      <c r="A128" s="12"/>
      <c r="B128" s="58">
        <v>2012</v>
      </c>
      <c r="C128" s="23">
        <f>'Table 1.1.8'!E59-'Table 1.1.8'!Y59-'Table 1.1.8'!AC59-'Table 1.1.8'!AG59</f>
        <v>1344191.4924076251</v>
      </c>
      <c r="D128" s="23">
        <f>'Table 1.1.8'!H59</f>
        <v>922546.77944687521</v>
      </c>
      <c r="E128" s="85">
        <f t="shared" si="17"/>
        <v>2.9722483673582323E-2</v>
      </c>
      <c r="F128" s="85">
        <f t="shared" si="17"/>
        <v>2.9228357118970871E-2</v>
      </c>
      <c r="G128" s="103"/>
      <c r="I128" s="243"/>
      <c r="J128" s="243"/>
      <c r="K128" s="243"/>
      <c r="L128" s="243"/>
      <c r="M128" s="243"/>
      <c r="N128" s="243"/>
      <c r="O128" s="243"/>
      <c r="Q128" s="48"/>
    </row>
    <row r="129" spans="1:17" s="57" customFormat="1" ht="12.75" customHeight="1">
      <c r="A129" s="12"/>
      <c r="B129" s="58">
        <v>2013</v>
      </c>
      <c r="C129" s="23">
        <f>'Table 1.1.8'!E60-'Table 1.1.8'!Y60-'Table 1.1.8'!AC60-'Table 1.1.8'!AG60</f>
        <v>1397525.289885381</v>
      </c>
      <c r="D129" s="23">
        <f>'Table 1.1.8'!H60</f>
        <v>961461.6068929485</v>
      </c>
      <c r="E129" s="85">
        <f t="shared" si="17"/>
        <v>3.9677231837130567E-2</v>
      </c>
      <c r="F129" s="85">
        <f t="shared" si="17"/>
        <v>4.2181955769663215E-2</v>
      </c>
      <c r="G129" s="103"/>
      <c r="I129" s="243"/>
      <c r="J129" s="243"/>
      <c r="K129" s="243"/>
      <c r="L129" s="243"/>
      <c r="M129" s="243"/>
      <c r="N129" s="243"/>
      <c r="O129" s="243"/>
    </row>
    <row r="130" spans="1:17" s="57" customFormat="1" ht="12.75" customHeight="1">
      <c r="A130" s="12"/>
      <c r="B130" s="58">
        <v>2014</v>
      </c>
      <c r="C130" s="23">
        <f>'Table 1.1.8'!E61-'Table 1.1.8'!Y61-'Table 1.1.8'!AC61-'Table 1.1.8'!AG61</f>
        <v>1471948.2918809855</v>
      </c>
      <c r="D130" s="23">
        <f>'Table 1.1.8'!H61</f>
        <v>1037492.0458286607</v>
      </c>
      <c r="E130" s="85">
        <f t="shared" si="17"/>
        <v>5.3253420552917818E-2</v>
      </c>
      <c r="F130" s="85">
        <f t="shared" si="17"/>
        <v>7.9077977103434893E-2</v>
      </c>
      <c r="G130" s="103"/>
      <c r="I130" s="243"/>
      <c r="J130" s="243"/>
      <c r="K130" s="243"/>
      <c r="L130" s="243"/>
      <c r="M130" s="243"/>
      <c r="N130" s="243"/>
      <c r="O130" s="243"/>
    </row>
    <row r="131" spans="1:17" s="57" customFormat="1" ht="12.75" customHeight="1">
      <c r="A131" s="12"/>
      <c r="B131" s="58">
        <v>2015</v>
      </c>
      <c r="C131" s="23">
        <f>'Table 1.1.8'!E62-'Table 1.1.8'!Y62-'Table 1.1.8'!AC62-'Table 1.1.8'!AG62</f>
        <v>1555084.6835411671</v>
      </c>
      <c r="D131" s="23">
        <f>'Table 1.1.8'!H62</f>
        <v>1103483.0338920418</v>
      </c>
      <c r="E131" s="85">
        <f t="shared" si="17"/>
        <v>5.648051097905249E-2</v>
      </c>
      <c r="F131" s="85">
        <f t="shared" si="17"/>
        <v>6.3606259275629462E-2</v>
      </c>
      <c r="G131" s="103"/>
      <c r="I131" s="243"/>
      <c r="J131" s="243"/>
      <c r="K131" s="243"/>
      <c r="L131" s="243"/>
      <c r="M131" s="243"/>
      <c r="N131" s="243"/>
      <c r="O131" s="243"/>
    </row>
    <row r="132" spans="1:17" s="57" customFormat="1" ht="12.75" customHeight="1">
      <c r="A132" s="12"/>
      <c r="B132" s="58">
        <v>2016</v>
      </c>
      <c r="C132" s="23">
        <f>'Table 1.1.8'!E63-'Table 1.1.8'!Y63-'Table 1.1.8'!AC63-'Table 1.1.8'!AG63</f>
        <v>1645743.2366805687</v>
      </c>
      <c r="D132" s="23">
        <f>'Table 1.1.8'!H63</f>
        <v>1176498.4769775472</v>
      </c>
      <c r="E132" s="85">
        <f t="shared" si="17"/>
        <v>5.8298145495818465E-2</v>
      </c>
      <c r="F132" s="85">
        <f t="shared" si="17"/>
        <v>6.6168161034589001E-2</v>
      </c>
      <c r="G132" s="103"/>
      <c r="I132" s="243"/>
      <c r="J132" s="243"/>
      <c r="K132" s="243"/>
      <c r="L132" s="243"/>
      <c r="M132" s="243"/>
      <c r="N132" s="243"/>
      <c r="O132" s="243"/>
    </row>
    <row r="133" spans="1:17" s="57" customFormat="1" ht="12.75" customHeight="1">
      <c r="A133" s="12"/>
      <c r="B133" s="58">
        <v>2017</v>
      </c>
      <c r="C133" s="23">
        <f>'Table 1.1.8'!E64-'Table 1.1.8'!Y64-'Table 1.1.8'!AC64-'Table 1.1.8'!AG64</f>
        <v>1734588.1196174328</v>
      </c>
      <c r="D133" s="23">
        <f>'Table 1.1.8'!H64</f>
        <v>1238475.7985574093</v>
      </c>
      <c r="E133" s="85">
        <f t="shared" si="17"/>
        <v>5.3984656267561215E-2</v>
      </c>
      <c r="F133" s="85">
        <f t="shared" si="17"/>
        <v>5.2679474553238181E-2</v>
      </c>
      <c r="G133" s="103"/>
      <c r="I133" s="243"/>
      <c r="J133" s="243"/>
      <c r="K133" s="243"/>
      <c r="L133" s="243"/>
      <c r="M133" s="243"/>
      <c r="N133" s="243"/>
      <c r="O133" s="243"/>
    </row>
    <row r="134" spans="1:17" s="57" customFormat="1" ht="12.75" customHeight="1">
      <c r="A134" s="12"/>
      <c r="B134" s="58">
        <v>2018</v>
      </c>
      <c r="C134" s="23">
        <f>'Table 1.1.8'!E65-'Table 1.1.8'!Y65-'Table 1.1.8'!AC65-'Table 1.1.8'!AG65</f>
        <v>1826256.279062209</v>
      </c>
      <c r="D134" s="23">
        <f>'Table 1.1.8'!H65</f>
        <v>1300528.5106134079</v>
      </c>
      <c r="E134" s="85">
        <f t="shared" si="17"/>
        <v>5.2847219699045267E-2</v>
      </c>
      <c r="F134" s="85">
        <f t="shared" si="17"/>
        <v>5.0104097414158888E-2</v>
      </c>
      <c r="G134" s="103"/>
      <c r="I134" s="243"/>
      <c r="J134" s="243"/>
      <c r="K134" s="243"/>
      <c r="L134" s="243"/>
      <c r="M134" s="243"/>
      <c r="N134" s="243"/>
      <c r="O134" s="243"/>
    </row>
    <row r="135" spans="1:17" s="57" customFormat="1" ht="12.75" customHeight="1">
      <c r="A135" s="62"/>
      <c r="B135" s="58">
        <v>2019</v>
      </c>
      <c r="C135" s="23">
        <f>'Table 1.1.8'!E66-'Table 1.1.8'!Y66-'Table 1.1.8'!AC66-'Table 1.1.8'!AG66</f>
        <v>1930878.675481949</v>
      </c>
      <c r="D135" s="23">
        <f>'Table 1.1.8'!H66</f>
        <v>1377117.2597635891</v>
      </c>
      <c r="E135" s="85">
        <f>C135/C134-1</f>
        <v>5.7287905109059567E-2</v>
      </c>
      <c r="F135" s="85">
        <f t="shared" si="17"/>
        <v>5.88904806970032E-2</v>
      </c>
      <c r="G135" s="103"/>
      <c r="I135" s="243"/>
      <c r="J135" s="243"/>
      <c r="K135" s="243"/>
      <c r="L135" s="243"/>
      <c r="M135" s="243"/>
      <c r="N135" s="243"/>
      <c r="O135" s="243"/>
    </row>
    <row r="136" spans="1:17" s="57" customFormat="1" ht="12.75" customHeight="1">
      <c r="A136" s="62"/>
      <c r="B136" s="58">
        <v>2020</v>
      </c>
      <c r="C136" s="23">
        <f>'Table 1.1.8'!E67-'Table 1.1.8'!Y67-'Table 1.1.8'!AC67-'Table 1.1.8'!AG67</f>
        <v>2041851.6588919361</v>
      </c>
      <c r="D136" s="23">
        <f>'Table 1.1.8'!H67</f>
        <v>1458602.2034662561</v>
      </c>
      <c r="E136" s="85">
        <f>C136/C135-1</f>
        <v>5.747278936740452E-2</v>
      </c>
      <c r="F136" s="85">
        <f t="shared" si="17"/>
        <v>5.9170664752728142E-2</v>
      </c>
      <c r="G136" s="103"/>
      <c r="I136" s="243"/>
      <c r="J136" s="243"/>
      <c r="K136" s="243"/>
      <c r="L136" s="243"/>
      <c r="M136" s="243"/>
      <c r="N136" s="243"/>
      <c r="O136" s="243"/>
    </row>
    <row r="137" spans="1:17" s="57" customFormat="1" ht="12.75" customHeight="1">
      <c r="A137" s="62"/>
      <c r="B137" s="58">
        <v>2021</v>
      </c>
      <c r="C137" s="23">
        <f>'Table 1.1.8'!E68-'Table 1.1.8'!Y68-'Table 1.1.8'!AC68-'Table 1.1.8'!AG68</f>
        <v>2152497.8841696871</v>
      </c>
      <c r="D137" s="23">
        <f>'Table 1.1.8'!H68</f>
        <v>1539625.0991826484</v>
      </c>
      <c r="E137" s="85">
        <f>C137/C136-1</f>
        <v>5.418915952875647E-2</v>
      </c>
      <c r="F137" s="85">
        <f t="shared" si="17"/>
        <v>5.5548315725732156E-2</v>
      </c>
      <c r="G137" s="103"/>
      <c r="I137" s="243"/>
      <c r="J137" s="243"/>
      <c r="K137" s="243"/>
      <c r="L137" s="243"/>
      <c r="M137" s="243"/>
      <c r="N137" s="243"/>
      <c r="O137" s="243"/>
    </row>
    <row r="138" spans="1:17" s="57" customFormat="1" ht="18" customHeight="1">
      <c r="B138" s="123" t="s">
        <v>23</v>
      </c>
      <c r="C138" s="27" t="s">
        <v>67</v>
      </c>
      <c r="D138" s="27" t="s">
        <v>68</v>
      </c>
      <c r="E138" s="28" t="s">
        <v>69</v>
      </c>
      <c r="F138" s="30"/>
      <c r="G138" s="137"/>
      <c r="H138" s="137"/>
    </row>
    <row r="139" spans="1:17" s="41" customFormat="1" ht="18" customHeight="1">
      <c r="B139" s="39" t="str">
        <f>C138</f>
        <v>[P1a]</v>
      </c>
      <c r="C139" s="40" t="s">
        <v>640</v>
      </c>
      <c r="D139" s="40"/>
      <c r="E139" s="40"/>
      <c r="F139" s="40"/>
      <c r="G139" s="40"/>
      <c r="H139" s="40"/>
      <c r="I139" s="40"/>
      <c r="J139" s="40"/>
      <c r="K139" s="40"/>
      <c r="L139" s="40"/>
      <c r="M139" s="40"/>
      <c r="N139" s="40"/>
      <c r="O139" s="40"/>
      <c r="P139" s="40"/>
      <c r="Q139" s="40"/>
    </row>
    <row r="140" spans="1:17" s="41" customFormat="1" ht="18" customHeight="1">
      <c r="B140" s="39" t="str">
        <f>D138</f>
        <v>[P1b]</v>
      </c>
      <c r="C140" s="40" t="s">
        <v>641</v>
      </c>
      <c r="D140" s="40"/>
      <c r="E140" s="40"/>
      <c r="F140" s="40"/>
      <c r="G140" s="40"/>
      <c r="H140" s="40"/>
      <c r="I140" s="40"/>
      <c r="J140" s="40"/>
      <c r="K140" s="40"/>
      <c r="L140" s="40"/>
      <c r="M140" s="40"/>
      <c r="N140" s="40"/>
      <c r="O140" s="40"/>
      <c r="P140" s="40"/>
      <c r="Q140" s="40"/>
    </row>
    <row r="141" spans="1:17" s="41" customFormat="1" ht="18" customHeight="1">
      <c r="B141" s="39" t="str">
        <f>E138</f>
        <v>[P1c]</v>
      </c>
      <c r="C141" s="40" t="s">
        <v>642</v>
      </c>
      <c r="D141" s="40"/>
      <c r="E141" s="40"/>
      <c r="F141" s="40"/>
      <c r="G141" s="40"/>
      <c r="H141" s="40"/>
      <c r="I141" s="40"/>
      <c r="J141" s="40"/>
      <c r="K141" s="40"/>
      <c r="L141" s="40"/>
      <c r="M141" s="40"/>
      <c r="N141" s="40"/>
      <c r="O141" s="40"/>
      <c r="P141" s="40"/>
      <c r="Q141" s="40"/>
    </row>
    <row r="142" spans="1:17" s="38" customFormat="1" ht="18" customHeight="1">
      <c r="A142" s="35" t="s">
        <v>79</v>
      </c>
      <c r="B142" s="67" t="s">
        <v>643</v>
      </c>
      <c r="C142" s="67"/>
      <c r="D142" s="67"/>
      <c r="E142" s="67"/>
      <c r="F142" s="67"/>
      <c r="G142" s="67"/>
      <c r="H142" s="67"/>
      <c r="I142" s="67"/>
      <c r="J142" s="330"/>
      <c r="K142" s="330"/>
      <c r="L142" s="330"/>
      <c r="M142" s="330"/>
      <c r="N142" s="330"/>
      <c r="O142" s="330"/>
      <c r="P142" s="331"/>
      <c r="Q142" s="331"/>
    </row>
    <row r="143" spans="1:17" s="49" customFormat="1" ht="36" customHeight="1">
      <c r="A143" s="12"/>
      <c r="B143" s="79" t="s">
        <v>94</v>
      </c>
      <c r="C143" s="28" t="s">
        <v>644</v>
      </c>
      <c r="D143" s="30"/>
      <c r="E143" s="29"/>
      <c r="F143" s="30" t="s">
        <v>645</v>
      </c>
      <c r="G143" s="30"/>
      <c r="H143" s="137"/>
      <c r="I143" s="48"/>
      <c r="J143" s="48"/>
      <c r="K143" s="48"/>
      <c r="L143" s="48"/>
      <c r="M143" s="48"/>
      <c r="N143" s="48"/>
      <c r="O143" s="48"/>
    </row>
    <row r="144" spans="1:17" s="49" customFormat="1" ht="12.75">
      <c r="A144" s="12"/>
      <c r="B144" s="50"/>
      <c r="C144" s="81" t="s">
        <v>483</v>
      </c>
      <c r="D144" s="81" t="s">
        <v>98</v>
      </c>
      <c r="E144" s="81" t="s">
        <v>646</v>
      </c>
      <c r="F144" s="81" t="s">
        <v>483</v>
      </c>
      <c r="G144" s="81" t="s">
        <v>646</v>
      </c>
      <c r="H144" s="62"/>
      <c r="I144" s="48"/>
      <c r="J144" s="48"/>
      <c r="K144" s="48"/>
      <c r="L144" s="48"/>
      <c r="M144" s="48"/>
      <c r="N144" s="48"/>
      <c r="O144" s="48"/>
    </row>
    <row r="145" spans="1:15" s="49" customFormat="1" ht="12.75">
      <c r="A145" s="12"/>
      <c r="B145" s="58">
        <v>2006</v>
      </c>
      <c r="C145" s="23">
        <v>11389.8</v>
      </c>
      <c r="D145" s="82" t="s">
        <v>65</v>
      </c>
      <c r="E145" s="23">
        <f>C145</f>
        <v>11389.8</v>
      </c>
      <c r="F145" s="23">
        <v>10037.700000000001</v>
      </c>
      <c r="G145" s="23">
        <f>F145</f>
        <v>10037.700000000001</v>
      </c>
      <c r="H145" s="243"/>
      <c r="I145" s="48"/>
      <c r="J145" s="48"/>
      <c r="K145" s="48"/>
      <c r="L145" s="48"/>
      <c r="M145" s="48"/>
      <c r="N145" s="48"/>
      <c r="O145" s="48"/>
    </row>
    <row r="146" spans="1:15" s="49" customFormat="1" ht="12.75">
      <c r="A146" s="12"/>
      <c r="B146" s="58">
        <v>2007</v>
      </c>
      <c r="C146" s="23">
        <v>11995.7</v>
      </c>
      <c r="D146" s="82" t="s">
        <v>65</v>
      </c>
      <c r="E146" s="23">
        <f t="shared" ref="E146:E151" si="18">C146</f>
        <v>11995.7</v>
      </c>
      <c r="F146" s="23">
        <v>10507.9</v>
      </c>
      <c r="G146" s="23">
        <f t="shared" ref="G146:G151" si="19">F146</f>
        <v>10507.9</v>
      </c>
      <c r="H146" s="243"/>
      <c r="I146" s="48"/>
      <c r="J146" s="48"/>
      <c r="K146" s="48"/>
      <c r="L146" s="48"/>
      <c r="M146" s="48"/>
      <c r="N146" s="48"/>
      <c r="O146" s="48"/>
    </row>
    <row r="147" spans="1:15" s="49" customFormat="1" ht="12.75">
      <c r="A147" s="12"/>
      <c r="B147" s="58">
        <v>2008</v>
      </c>
      <c r="C147" s="23">
        <v>12430.6</v>
      </c>
      <c r="D147" s="82" t="s">
        <v>65</v>
      </c>
      <c r="E147" s="23">
        <f t="shared" si="18"/>
        <v>12430.6</v>
      </c>
      <c r="F147" s="23">
        <v>10995.4</v>
      </c>
      <c r="G147" s="23">
        <f t="shared" si="19"/>
        <v>10995.4</v>
      </c>
      <c r="H147" s="243"/>
      <c r="I147" s="48"/>
      <c r="J147" s="48"/>
      <c r="K147" s="48"/>
      <c r="L147" s="48"/>
      <c r="M147" s="48"/>
      <c r="N147" s="48"/>
      <c r="O147" s="48"/>
    </row>
    <row r="148" spans="1:15" s="57" customFormat="1" ht="12.75" customHeight="1">
      <c r="A148" s="12"/>
      <c r="B148" s="58">
        <v>2009</v>
      </c>
      <c r="C148" s="23">
        <v>12082.1</v>
      </c>
      <c r="D148" s="82" t="s">
        <v>65</v>
      </c>
      <c r="E148" s="23">
        <f t="shared" si="18"/>
        <v>12082.1</v>
      </c>
      <c r="F148" s="23">
        <v>10937.2</v>
      </c>
      <c r="G148" s="23">
        <f t="shared" si="19"/>
        <v>10937.2</v>
      </c>
      <c r="H148" s="103"/>
      <c r="I148" s="48"/>
      <c r="J148" s="48"/>
      <c r="K148" s="48"/>
      <c r="L148" s="48"/>
      <c r="M148" s="48"/>
      <c r="N148" s="48"/>
      <c r="O148" s="48"/>
    </row>
    <row r="149" spans="1:15" s="57" customFormat="1" ht="12.75" customHeight="1">
      <c r="A149" s="12"/>
      <c r="B149" s="58">
        <v>2010</v>
      </c>
      <c r="C149" s="23">
        <v>12435.2</v>
      </c>
      <c r="D149" s="82" t="s">
        <v>65</v>
      </c>
      <c r="E149" s="23">
        <f t="shared" si="18"/>
        <v>12435.2</v>
      </c>
      <c r="F149" s="23">
        <v>11243.7</v>
      </c>
      <c r="G149" s="23">
        <f t="shared" si="19"/>
        <v>11243.7</v>
      </c>
      <c r="H149" s="103"/>
      <c r="I149" s="48"/>
      <c r="J149" s="48"/>
      <c r="K149" s="48"/>
      <c r="L149" s="48"/>
      <c r="M149" s="48"/>
      <c r="N149" s="48"/>
      <c r="O149" s="48"/>
    </row>
    <row r="150" spans="1:15" s="57" customFormat="1" ht="12.75" customHeight="1">
      <c r="A150" s="12"/>
      <c r="B150" s="58">
        <v>2011</v>
      </c>
      <c r="C150" s="23">
        <v>13191.3</v>
      </c>
      <c r="D150" s="23">
        <v>12947.275</v>
      </c>
      <c r="E150" s="23">
        <f t="shared" si="18"/>
        <v>13191.3</v>
      </c>
      <c r="F150" s="23">
        <v>11787.4</v>
      </c>
      <c r="G150" s="23">
        <f t="shared" si="19"/>
        <v>11787.4</v>
      </c>
      <c r="H150" s="103"/>
      <c r="I150" s="48"/>
      <c r="J150" s="48"/>
      <c r="K150" s="48"/>
      <c r="L150" s="48"/>
      <c r="M150" s="48"/>
      <c r="N150" s="48"/>
      <c r="O150" s="48"/>
    </row>
    <row r="151" spans="1:15" s="57" customFormat="1" ht="12.75" customHeight="1">
      <c r="A151" s="12"/>
      <c r="B151" s="58">
        <v>2012</v>
      </c>
      <c r="C151" s="23">
        <v>13743.8</v>
      </c>
      <c r="D151" s="23">
        <v>13428.327499999999</v>
      </c>
      <c r="E151" s="23">
        <f t="shared" si="18"/>
        <v>13743.8</v>
      </c>
      <c r="F151" s="23">
        <v>12245.8</v>
      </c>
      <c r="G151" s="23">
        <f t="shared" si="19"/>
        <v>12245.8</v>
      </c>
      <c r="H151" s="103"/>
      <c r="I151" s="48"/>
      <c r="J151" s="48"/>
      <c r="K151" s="48"/>
      <c r="L151" s="48"/>
      <c r="M151" s="48"/>
      <c r="N151" s="48"/>
      <c r="O151" s="48"/>
    </row>
    <row r="152" spans="1:15" s="57" customFormat="1" ht="12.75" customHeight="1">
      <c r="A152" s="12"/>
      <c r="B152" s="58">
        <v>2013</v>
      </c>
      <c r="C152" s="82" t="s">
        <v>65</v>
      </c>
      <c r="D152" s="23">
        <v>13599.630000000001</v>
      </c>
      <c r="E152" s="23">
        <f>E151*D152/D151</f>
        <v>13919.126919863997</v>
      </c>
      <c r="F152" s="82" t="s">
        <v>65</v>
      </c>
      <c r="G152" s="23">
        <f>G151*D152/D151</f>
        <v>12402.017232153446</v>
      </c>
      <c r="H152" s="103"/>
    </row>
    <row r="153" spans="1:15" s="57" customFormat="1" ht="12.75" customHeight="1">
      <c r="A153" s="12"/>
      <c r="B153" s="58">
        <v>2014</v>
      </c>
      <c r="C153" s="82" t="s">
        <v>65</v>
      </c>
      <c r="D153" s="23">
        <v>14254.57</v>
      </c>
      <c r="E153" s="23">
        <f t="shared" ref="E153:E160" si="20">E152*D153/D152</f>
        <v>14589.453464402024</v>
      </c>
      <c r="F153" s="82" t="s">
        <v>65</v>
      </c>
      <c r="G153" s="23">
        <f t="shared" ref="G153:G160" si="21">G152*D153/D152</f>
        <v>12999.281802294439</v>
      </c>
      <c r="H153" s="103"/>
    </row>
    <row r="154" spans="1:15" s="57" customFormat="1" ht="12.75" customHeight="1">
      <c r="A154" s="12"/>
      <c r="B154" s="58">
        <v>2015</v>
      </c>
      <c r="C154" s="82" t="s">
        <v>65</v>
      </c>
      <c r="D154" s="23">
        <v>15146.93</v>
      </c>
      <c r="E154" s="23">
        <f t="shared" si="20"/>
        <v>15502.777731180593</v>
      </c>
      <c r="F154" s="82" t="s">
        <v>65</v>
      </c>
      <c r="G154" s="23">
        <f t="shared" si="21"/>
        <v>13813.058654847375</v>
      </c>
      <c r="H154" s="103"/>
    </row>
    <row r="155" spans="1:15" s="57" customFormat="1" ht="12.75" customHeight="1">
      <c r="A155" s="12"/>
      <c r="B155" s="58">
        <v>2016</v>
      </c>
      <c r="C155" s="82" t="s">
        <v>65</v>
      </c>
      <c r="D155" s="23">
        <v>16187.465</v>
      </c>
      <c r="E155" s="23">
        <f t="shared" si="20"/>
        <v>16567.758082084307</v>
      </c>
      <c r="F155" s="82" t="s">
        <v>65</v>
      </c>
      <c r="G155" s="23">
        <f t="shared" si="21"/>
        <v>14761.961897116376</v>
      </c>
      <c r="H155" s="103"/>
    </row>
    <row r="156" spans="1:15" s="57" customFormat="1" ht="12.75" customHeight="1">
      <c r="A156" s="12"/>
      <c r="B156" s="58">
        <v>2017</v>
      </c>
      <c r="C156" s="82" t="s">
        <v>65</v>
      </c>
      <c r="D156" s="23">
        <v>17294.057499999999</v>
      </c>
      <c r="E156" s="23">
        <f t="shared" si="20"/>
        <v>17700.34782578098</v>
      </c>
      <c r="F156" s="82" t="s">
        <v>65</v>
      </c>
      <c r="G156" s="23">
        <f t="shared" si="21"/>
        <v>15771.10547337336</v>
      </c>
      <c r="H156" s="103"/>
    </row>
    <row r="157" spans="1:15" s="57" customFormat="1" ht="12.75" customHeight="1">
      <c r="A157" s="12"/>
      <c r="B157" s="58">
        <v>2018</v>
      </c>
      <c r="C157" s="82" t="s">
        <v>65</v>
      </c>
      <c r="D157" s="23">
        <v>18313.845000000001</v>
      </c>
      <c r="E157" s="23">
        <f t="shared" si="20"/>
        <v>18744.093254427997</v>
      </c>
      <c r="F157" s="82" t="s">
        <v>65</v>
      </c>
      <c r="G157" s="23">
        <f t="shared" si="21"/>
        <v>16701.08828526859</v>
      </c>
      <c r="H157" s="103"/>
    </row>
    <row r="158" spans="1:15" s="57" customFormat="1" ht="12.75" customHeight="1">
      <c r="A158" s="62"/>
      <c r="B158" s="58">
        <v>2019</v>
      </c>
      <c r="C158" s="82" t="s">
        <v>65</v>
      </c>
      <c r="D158" s="23">
        <v>19220.28</v>
      </c>
      <c r="E158" s="23">
        <f t="shared" si="20"/>
        <v>19671.823186022229</v>
      </c>
      <c r="F158" s="82" t="s">
        <v>65</v>
      </c>
      <c r="G158" s="23">
        <f t="shared" si="21"/>
        <v>17527.700662945557</v>
      </c>
      <c r="H158" s="103"/>
    </row>
    <row r="159" spans="1:15" s="57" customFormat="1" ht="12.75" customHeight="1">
      <c r="A159" s="62"/>
      <c r="B159" s="58">
        <v>2020</v>
      </c>
      <c r="C159" s="82" t="s">
        <v>65</v>
      </c>
      <c r="D159" s="23">
        <v>20197.924999999999</v>
      </c>
      <c r="E159" s="23">
        <f t="shared" si="20"/>
        <v>20672.436058399675</v>
      </c>
      <c r="F159" s="82" t="s">
        <v>65</v>
      </c>
      <c r="G159" s="23">
        <f t="shared" si="21"/>
        <v>18419.252134340637</v>
      </c>
      <c r="H159" s="103"/>
    </row>
    <row r="160" spans="1:15" s="57" customFormat="1" ht="12.75" customHeight="1">
      <c r="A160" s="62"/>
      <c r="B160" s="58">
        <v>2021</v>
      </c>
      <c r="C160" s="82" t="s">
        <v>65</v>
      </c>
      <c r="D160" s="23">
        <v>21180.4025</v>
      </c>
      <c r="E160" s="23">
        <f t="shared" si="20"/>
        <v>21677.994960988253</v>
      </c>
      <c r="F160" s="82" t="s">
        <v>65</v>
      </c>
      <c r="G160" s="23">
        <f t="shared" si="21"/>
        <v>19315.210545356455</v>
      </c>
      <c r="H160" s="103"/>
    </row>
    <row r="161" spans="1:17" s="57" customFormat="1" ht="18" customHeight="1">
      <c r="B161" s="123" t="s">
        <v>23</v>
      </c>
      <c r="C161" s="27" t="s">
        <v>67</v>
      </c>
      <c r="D161" s="27" t="s">
        <v>68</v>
      </c>
      <c r="E161" s="27" t="s">
        <v>69</v>
      </c>
      <c r="F161" s="27" t="s">
        <v>70</v>
      </c>
      <c r="G161" s="27" t="s">
        <v>71</v>
      </c>
      <c r="H161" s="137"/>
    </row>
    <row r="162" spans="1:17" s="41" customFormat="1" ht="18" customHeight="1">
      <c r="B162" s="39" t="str">
        <f>C161</f>
        <v>[P1a]</v>
      </c>
      <c r="C162" s="40" t="s">
        <v>647</v>
      </c>
      <c r="D162" s="40"/>
      <c r="E162" s="40"/>
      <c r="F162" s="40"/>
      <c r="G162" s="40"/>
      <c r="H162" s="40"/>
      <c r="I162" s="40"/>
      <c r="J162" s="40"/>
      <c r="K162" s="40"/>
      <c r="L162" s="40"/>
      <c r="M162" s="40"/>
      <c r="N162" s="40"/>
      <c r="O162" s="40"/>
      <c r="P162" s="40"/>
      <c r="Q162" s="40"/>
    </row>
    <row r="163" spans="1:17" s="41" customFormat="1" ht="18" customHeight="1">
      <c r="B163" s="39" t="str">
        <f>D161</f>
        <v>[P1b]</v>
      </c>
      <c r="C163" s="40" t="s">
        <v>648</v>
      </c>
      <c r="D163" s="40"/>
      <c r="E163" s="40"/>
      <c r="F163" s="40"/>
      <c r="G163" s="40"/>
      <c r="H163" s="40"/>
      <c r="I163" s="40"/>
      <c r="J163" s="40"/>
      <c r="K163" s="40"/>
      <c r="L163" s="40"/>
      <c r="M163" s="40"/>
      <c r="N163" s="40"/>
      <c r="O163" s="40"/>
      <c r="P163" s="40"/>
      <c r="Q163" s="40"/>
    </row>
    <row r="164" spans="1:17" s="41" customFormat="1" ht="24.75" customHeight="1">
      <c r="B164" s="39" t="str">
        <f>E161</f>
        <v>[P1c]</v>
      </c>
      <c r="C164" s="40" t="s">
        <v>649</v>
      </c>
      <c r="D164" s="40"/>
      <c r="E164" s="40"/>
      <c r="F164" s="40"/>
      <c r="G164" s="40"/>
      <c r="H164" s="40"/>
      <c r="I164" s="40"/>
      <c r="J164" s="40"/>
      <c r="K164" s="40"/>
      <c r="L164" s="40"/>
      <c r="M164" s="40"/>
      <c r="N164" s="40"/>
      <c r="O164" s="40"/>
      <c r="P164" s="40"/>
      <c r="Q164" s="40"/>
    </row>
    <row r="165" spans="1:17" s="41" customFormat="1" ht="18" customHeight="1">
      <c r="B165" s="39" t="str">
        <f>F161</f>
        <v>[P1d]</v>
      </c>
      <c r="C165" s="40" t="s">
        <v>650</v>
      </c>
      <c r="D165" s="40"/>
      <c r="E165" s="40"/>
      <c r="F165" s="40"/>
      <c r="G165" s="40"/>
      <c r="H165" s="40"/>
      <c r="I165" s="40"/>
      <c r="J165" s="40"/>
      <c r="K165" s="40"/>
      <c r="L165" s="40"/>
      <c r="M165" s="40"/>
      <c r="N165" s="40"/>
      <c r="O165" s="40"/>
      <c r="P165" s="40"/>
      <c r="Q165" s="40"/>
    </row>
    <row r="166" spans="1:17" s="41" customFormat="1" ht="24.75" customHeight="1">
      <c r="A166" s="78"/>
      <c r="B166" s="78" t="str">
        <f>G161</f>
        <v>[P1e]</v>
      </c>
      <c r="C166" s="114" t="s">
        <v>651</v>
      </c>
      <c r="D166" s="114"/>
      <c r="E166" s="114"/>
      <c r="F166" s="114"/>
      <c r="G166" s="114"/>
      <c r="H166" s="114"/>
      <c r="I166" s="114"/>
      <c r="J166" s="114"/>
      <c r="K166" s="114"/>
      <c r="L166" s="114"/>
      <c r="M166" s="114"/>
      <c r="N166" s="114"/>
      <c r="O166" s="114"/>
      <c r="P166" s="114"/>
      <c r="Q166" s="114"/>
    </row>
    <row r="167" spans="1:17" s="38" customFormat="1" ht="18" customHeight="1">
      <c r="A167" s="35" t="s">
        <v>92</v>
      </c>
      <c r="B167" s="67" t="s">
        <v>652</v>
      </c>
      <c r="C167" s="67"/>
      <c r="D167" s="67"/>
      <c r="E167" s="67"/>
      <c r="F167" s="67"/>
      <c r="G167" s="67"/>
      <c r="H167" s="67"/>
      <c r="I167" s="67"/>
      <c r="J167" s="330"/>
      <c r="K167" s="330"/>
      <c r="L167" s="330"/>
      <c r="M167" s="330"/>
      <c r="N167" s="330"/>
      <c r="O167" s="330"/>
      <c r="P167" s="331"/>
      <c r="Q167" s="331"/>
    </row>
    <row r="168" spans="1:17" s="49" customFormat="1" ht="36" customHeight="1">
      <c r="A168" s="12"/>
      <c r="B168" s="79" t="s">
        <v>94</v>
      </c>
      <c r="C168" s="28" t="s">
        <v>653</v>
      </c>
      <c r="D168" s="29"/>
      <c r="E168" s="79" t="s">
        <v>654</v>
      </c>
      <c r="F168" s="14" t="s">
        <v>655</v>
      </c>
      <c r="G168" s="15" t="s">
        <v>656</v>
      </c>
      <c r="H168" s="15" t="s">
        <v>657</v>
      </c>
      <c r="I168" s="14" t="s">
        <v>658</v>
      </c>
      <c r="J168" s="15" t="s">
        <v>659</v>
      </c>
      <c r="K168" s="48"/>
      <c r="L168" s="48"/>
      <c r="M168" s="48"/>
      <c r="N168" s="48"/>
      <c r="O168" s="48"/>
    </row>
    <row r="169" spans="1:17" s="49" customFormat="1" ht="18" customHeight="1">
      <c r="A169" s="12"/>
      <c r="B169" s="50"/>
      <c r="C169" s="81" t="s">
        <v>660</v>
      </c>
      <c r="D169" s="156" t="s">
        <v>661</v>
      </c>
      <c r="E169" s="10"/>
      <c r="F169" s="18"/>
      <c r="G169" s="9"/>
      <c r="H169" s="9"/>
      <c r="I169" s="18"/>
      <c r="J169" s="9"/>
      <c r="K169" s="48"/>
      <c r="L169" s="48"/>
      <c r="M169" s="48"/>
      <c r="N169" s="48"/>
      <c r="O169" s="48"/>
    </row>
    <row r="170" spans="1:17" s="49" customFormat="1" ht="12.75">
      <c r="A170" s="12"/>
      <c r="B170" s="58">
        <v>1966</v>
      </c>
      <c r="C170" s="244">
        <v>10.8</v>
      </c>
      <c r="D170" s="244">
        <v>1</v>
      </c>
      <c r="E170" s="22">
        <v>1.1000000000000001</v>
      </c>
      <c r="F170" s="328">
        <f>D170+E170*D170/(C170+D170)</f>
        <v>1.0932203389830508</v>
      </c>
      <c r="G170" s="52" t="s">
        <v>65</v>
      </c>
      <c r="H170" s="244">
        <v>0.3</v>
      </c>
      <c r="I170" s="52" t="s">
        <v>65</v>
      </c>
      <c r="J170" s="21">
        <f t="shared" ref="J170:J189" si="22">J171*H170/H171</f>
        <v>0.27761194029850744</v>
      </c>
      <c r="K170" s="48"/>
      <c r="L170" s="48"/>
      <c r="M170" s="48"/>
      <c r="N170" s="48"/>
      <c r="O170" s="48"/>
    </row>
    <row r="171" spans="1:17" s="49" customFormat="1" ht="12.75">
      <c r="A171" s="12"/>
      <c r="B171" s="58">
        <v>1967</v>
      </c>
      <c r="C171" s="244">
        <v>11.6</v>
      </c>
      <c r="D171" s="244">
        <v>1.5</v>
      </c>
      <c r="E171" s="22">
        <v>1.8</v>
      </c>
      <c r="F171" s="328">
        <f t="shared" ref="F171:F193" si="23">D171+E171*D171/(C171+D171)</f>
        <v>1.7061068702290076</v>
      </c>
      <c r="G171" s="59" t="s">
        <v>65</v>
      </c>
      <c r="H171" s="244">
        <v>0.6</v>
      </c>
      <c r="I171" s="59" t="s">
        <v>65</v>
      </c>
      <c r="J171" s="21">
        <f t="shared" si="22"/>
        <v>0.55522388059701488</v>
      </c>
      <c r="K171" s="48"/>
      <c r="L171" s="48"/>
      <c r="M171" s="48"/>
      <c r="N171" s="48"/>
      <c r="O171" s="48"/>
    </row>
    <row r="172" spans="1:17" s="49" customFormat="1" ht="12.75">
      <c r="A172" s="12"/>
      <c r="B172" s="58">
        <v>1968</v>
      </c>
      <c r="C172" s="244">
        <v>12.9</v>
      </c>
      <c r="D172" s="244">
        <v>2.1</v>
      </c>
      <c r="E172" s="22">
        <v>1.6</v>
      </c>
      <c r="F172" s="328">
        <f t="shared" si="23"/>
        <v>2.3240000000000003</v>
      </c>
      <c r="G172" s="59" t="s">
        <v>65</v>
      </c>
      <c r="H172" s="244">
        <v>0.8</v>
      </c>
      <c r="I172" s="59" t="s">
        <v>65</v>
      </c>
      <c r="J172" s="21">
        <f t="shared" si="22"/>
        <v>0.74029850746268655</v>
      </c>
      <c r="K172" s="48"/>
      <c r="L172" s="48"/>
      <c r="M172" s="48"/>
      <c r="N172" s="48"/>
      <c r="O172" s="48"/>
    </row>
    <row r="173" spans="1:17" s="57" customFormat="1" ht="12.75" customHeight="1">
      <c r="A173" s="12"/>
      <c r="B173" s="58">
        <v>1969</v>
      </c>
      <c r="C173" s="244">
        <v>15.1</v>
      </c>
      <c r="D173" s="244">
        <v>2.2000000000000002</v>
      </c>
      <c r="E173" s="22">
        <v>1.8</v>
      </c>
      <c r="F173" s="328">
        <f t="shared" si="23"/>
        <v>2.4289017341040466</v>
      </c>
      <c r="G173" s="59" t="s">
        <v>65</v>
      </c>
      <c r="H173" s="244">
        <v>0.9</v>
      </c>
      <c r="I173" s="59" t="s">
        <v>65</v>
      </c>
      <c r="J173" s="21">
        <f t="shared" si="22"/>
        <v>0.83283582089552233</v>
      </c>
      <c r="K173" s="48"/>
      <c r="L173" s="48"/>
      <c r="M173" s="48"/>
      <c r="N173" s="48"/>
      <c r="O173" s="48"/>
    </row>
    <row r="174" spans="1:17" s="57" customFormat="1" ht="12.75" customHeight="1">
      <c r="A174" s="12"/>
      <c r="B174" s="58">
        <v>1970</v>
      </c>
      <c r="C174" s="244">
        <v>15.9</v>
      </c>
      <c r="D174" s="244">
        <v>2.2999999999999998</v>
      </c>
      <c r="E174" s="22">
        <v>1.9</v>
      </c>
      <c r="F174" s="328">
        <f t="shared" si="23"/>
        <v>2.54010989010989</v>
      </c>
      <c r="G174" s="59" t="s">
        <v>65</v>
      </c>
      <c r="H174" s="244">
        <v>1.1000000000000001</v>
      </c>
      <c r="I174" s="59" t="s">
        <v>65</v>
      </c>
      <c r="J174" s="21">
        <f t="shared" si="22"/>
        <v>1.017910447761194</v>
      </c>
      <c r="K174" s="48"/>
      <c r="L174" s="48"/>
      <c r="M174" s="48"/>
      <c r="N174" s="48"/>
      <c r="O174" s="48"/>
    </row>
    <row r="175" spans="1:17" s="57" customFormat="1" ht="12.75" customHeight="1">
      <c r="A175" s="12"/>
      <c r="B175" s="58">
        <v>1971</v>
      </c>
      <c r="C175" s="244">
        <v>17.8</v>
      </c>
      <c r="D175" s="244">
        <v>2.2999999999999998</v>
      </c>
      <c r="E175" s="22">
        <v>1.9</v>
      </c>
      <c r="F175" s="328">
        <f t="shared" si="23"/>
        <v>2.5174129353233829</v>
      </c>
      <c r="G175" s="59" t="s">
        <v>65</v>
      </c>
      <c r="H175" s="244">
        <v>1.3</v>
      </c>
      <c r="I175" s="59" t="s">
        <v>65</v>
      </c>
      <c r="J175" s="21">
        <f t="shared" si="22"/>
        <v>1.2029850746268655</v>
      </c>
      <c r="K175" s="48"/>
      <c r="L175" s="48"/>
      <c r="M175" s="48"/>
      <c r="N175" s="48"/>
      <c r="O175" s="48"/>
    </row>
    <row r="176" spans="1:17" s="57" customFormat="1" ht="12.75" customHeight="1">
      <c r="A176" s="12"/>
      <c r="B176" s="58">
        <v>1972</v>
      </c>
      <c r="C176" s="244">
        <v>20.2</v>
      </c>
      <c r="D176" s="244">
        <v>2.7</v>
      </c>
      <c r="E176" s="22">
        <v>2.1</v>
      </c>
      <c r="F176" s="328">
        <f t="shared" si="23"/>
        <v>2.9475982532751095</v>
      </c>
      <c r="G176" s="59" t="s">
        <v>65</v>
      </c>
      <c r="H176" s="244">
        <v>1.4</v>
      </c>
      <c r="I176" s="59" t="s">
        <v>65</v>
      </c>
      <c r="J176" s="21">
        <f t="shared" si="22"/>
        <v>1.2955223880597011</v>
      </c>
      <c r="K176" s="48"/>
      <c r="L176" s="48"/>
      <c r="M176" s="48"/>
      <c r="N176" s="48"/>
      <c r="O176" s="48"/>
    </row>
    <row r="177" spans="1:10" s="57" customFormat="1" ht="12.75" customHeight="1">
      <c r="A177" s="12"/>
      <c r="B177" s="58">
        <v>1973</v>
      </c>
      <c r="C177" s="244">
        <v>24.8</v>
      </c>
      <c r="D177" s="244">
        <v>5.2</v>
      </c>
      <c r="E177" s="22">
        <v>2.5</v>
      </c>
      <c r="F177" s="328">
        <f t="shared" si="23"/>
        <v>5.6333333333333337</v>
      </c>
      <c r="G177" s="59" t="s">
        <v>65</v>
      </c>
      <c r="H177" s="244">
        <v>1.5</v>
      </c>
      <c r="I177" s="59" t="s">
        <v>65</v>
      </c>
      <c r="J177" s="21">
        <f t="shared" si="22"/>
        <v>1.3880597014925369</v>
      </c>
    </row>
    <row r="178" spans="1:10" s="57" customFormat="1" ht="12.75" customHeight="1">
      <c r="A178" s="12"/>
      <c r="B178" s="58">
        <v>1974</v>
      </c>
      <c r="C178" s="244">
        <v>28.8</v>
      </c>
      <c r="D178" s="244">
        <v>5.3</v>
      </c>
      <c r="E178" s="22">
        <v>3.1</v>
      </c>
      <c r="F178" s="328">
        <f t="shared" si="23"/>
        <v>5.7818181818181813</v>
      </c>
      <c r="G178" s="59" t="s">
        <v>65</v>
      </c>
      <c r="H178" s="244">
        <v>1.8</v>
      </c>
      <c r="I178" s="59" t="s">
        <v>65</v>
      </c>
      <c r="J178" s="21">
        <f t="shared" si="22"/>
        <v>1.6656716417910444</v>
      </c>
    </row>
    <row r="179" spans="1:10" s="57" customFormat="1" ht="12.75" customHeight="1">
      <c r="A179" s="12"/>
      <c r="B179" s="58">
        <v>1975</v>
      </c>
      <c r="C179" s="244">
        <v>30.2</v>
      </c>
      <c r="D179" s="244">
        <v>5.6</v>
      </c>
      <c r="E179" s="22">
        <v>3.4</v>
      </c>
      <c r="F179" s="328">
        <f t="shared" si="23"/>
        <v>6.1318435754189942</v>
      </c>
      <c r="G179" s="59" t="s">
        <v>65</v>
      </c>
      <c r="H179" s="244">
        <v>1.9</v>
      </c>
      <c r="I179" s="59" t="s">
        <v>65</v>
      </c>
      <c r="J179" s="21">
        <f t="shared" si="22"/>
        <v>1.75820895522388</v>
      </c>
    </row>
    <row r="180" spans="1:10" s="57" customFormat="1" ht="12.75" customHeight="1">
      <c r="A180" s="12"/>
      <c r="B180" s="58">
        <v>1976</v>
      </c>
      <c r="C180" s="244">
        <v>33.5</v>
      </c>
      <c r="D180" s="244">
        <v>6.2</v>
      </c>
      <c r="E180" s="22">
        <v>3.5</v>
      </c>
      <c r="F180" s="328">
        <f t="shared" si="23"/>
        <v>6.7465994962216627</v>
      </c>
      <c r="G180" s="59" t="s">
        <v>65</v>
      </c>
      <c r="H180" s="244">
        <v>2</v>
      </c>
      <c r="I180" s="59" t="s">
        <v>65</v>
      </c>
      <c r="J180" s="21">
        <f t="shared" si="22"/>
        <v>1.8507462686567158</v>
      </c>
    </row>
    <row r="181" spans="1:10" s="57" customFormat="1" ht="12.75" customHeight="1">
      <c r="A181" s="12"/>
      <c r="B181" s="58">
        <v>1977</v>
      </c>
      <c r="C181" s="244">
        <v>37.200000000000003</v>
      </c>
      <c r="D181" s="244">
        <v>6.9</v>
      </c>
      <c r="E181" s="22">
        <v>3.9</v>
      </c>
      <c r="F181" s="328">
        <f t="shared" si="23"/>
        <v>7.5102040816326534</v>
      </c>
      <c r="G181" s="59" t="s">
        <v>65</v>
      </c>
      <c r="H181" s="244">
        <v>2.2000000000000002</v>
      </c>
      <c r="I181" s="59" t="s">
        <v>65</v>
      </c>
      <c r="J181" s="21">
        <f t="shared" si="22"/>
        <v>2.0358208955223875</v>
      </c>
    </row>
    <row r="182" spans="1:10" s="57" customFormat="1" ht="12.75" customHeight="1">
      <c r="A182" s="12"/>
      <c r="B182" s="58">
        <v>1978</v>
      </c>
      <c r="C182" s="244">
        <v>42.5</v>
      </c>
      <c r="D182" s="244">
        <v>8.5</v>
      </c>
      <c r="E182" s="22">
        <v>4.3</v>
      </c>
      <c r="F182" s="328">
        <f t="shared" si="23"/>
        <v>9.2166666666666668</v>
      </c>
      <c r="G182" s="59" t="s">
        <v>65</v>
      </c>
      <c r="H182" s="244">
        <v>2.5</v>
      </c>
      <c r="I182" s="59" t="s">
        <v>65</v>
      </c>
      <c r="J182" s="21">
        <f t="shared" si="22"/>
        <v>2.3134328358208949</v>
      </c>
    </row>
    <row r="183" spans="1:10" s="57" customFormat="1" ht="12.75" customHeight="1">
      <c r="A183" s="62"/>
      <c r="B183" s="58">
        <v>1979</v>
      </c>
      <c r="C183" s="244">
        <v>49.9</v>
      </c>
      <c r="D183" s="244">
        <v>10.5</v>
      </c>
      <c r="E183" s="22">
        <v>5</v>
      </c>
      <c r="F183" s="328">
        <f t="shared" si="23"/>
        <v>11.369205298013245</v>
      </c>
      <c r="G183" s="59" t="s">
        <v>65</v>
      </c>
      <c r="H183" s="244">
        <v>2.7</v>
      </c>
      <c r="I183" s="59" t="s">
        <v>65</v>
      </c>
      <c r="J183" s="21">
        <f t="shared" si="22"/>
        <v>2.4985074626865669</v>
      </c>
    </row>
    <row r="184" spans="1:10" s="57" customFormat="1" ht="12.75" customHeight="1">
      <c r="A184" s="62"/>
      <c r="B184" s="58">
        <v>1980</v>
      </c>
      <c r="C184" s="244">
        <v>55.2</v>
      </c>
      <c r="D184" s="244">
        <v>11.6</v>
      </c>
      <c r="E184" s="22">
        <v>5.6</v>
      </c>
      <c r="F184" s="328">
        <f t="shared" si="23"/>
        <v>12.572455089820359</v>
      </c>
      <c r="G184" s="59" t="s">
        <v>65</v>
      </c>
      <c r="H184" s="244">
        <v>3</v>
      </c>
      <c r="I184" s="59" t="s">
        <v>65</v>
      </c>
      <c r="J184" s="21">
        <f t="shared" si="22"/>
        <v>2.7761194029850742</v>
      </c>
    </row>
    <row r="185" spans="1:10" s="57" customFormat="1" ht="12.75" customHeight="1">
      <c r="A185" s="62"/>
      <c r="B185" s="58">
        <v>1981</v>
      </c>
      <c r="C185" s="244">
        <v>64.599999999999994</v>
      </c>
      <c r="D185" s="244">
        <v>15.9</v>
      </c>
      <c r="E185" s="22">
        <v>5.9</v>
      </c>
      <c r="F185" s="328">
        <f t="shared" si="23"/>
        <v>17.065341614906831</v>
      </c>
      <c r="G185" s="59" t="s">
        <v>65</v>
      </c>
      <c r="H185" s="244">
        <v>3.4</v>
      </c>
      <c r="I185" s="59" t="s">
        <v>65</v>
      </c>
      <c r="J185" s="21">
        <f t="shared" si="22"/>
        <v>3.1462686567164173</v>
      </c>
    </row>
    <row r="186" spans="1:10" s="57" customFormat="1" ht="12.75" customHeight="1">
      <c r="A186" s="62"/>
      <c r="B186" s="58">
        <v>1982</v>
      </c>
      <c r="C186" s="244">
        <v>69</v>
      </c>
      <c r="D186" s="244">
        <v>16.8</v>
      </c>
      <c r="E186" s="22">
        <v>6.8</v>
      </c>
      <c r="F186" s="328">
        <f t="shared" si="23"/>
        <v>18.131468531468531</v>
      </c>
      <c r="G186" s="59" t="s">
        <v>65</v>
      </c>
      <c r="H186" s="244">
        <v>3.9</v>
      </c>
      <c r="I186" s="59" t="s">
        <v>65</v>
      </c>
      <c r="J186" s="21">
        <f t="shared" si="22"/>
        <v>3.6089552238805966</v>
      </c>
    </row>
    <row r="187" spans="1:10" s="57" customFormat="1" ht="12.75" customHeight="1">
      <c r="A187" s="62"/>
      <c r="B187" s="58">
        <v>1983</v>
      </c>
      <c r="C187" s="244">
        <v>73.3</v>
      </c>
      <c r="D187" s="244">
        <v>18.7</v>
      </c>
      <c r="E187" s="22">
        <v>7.1</v>
      </c>
      <c r="F187" s="328">
        <f t="shared" si="23"/>
        <v>20.143152173913041</v>
      </c>
      <c r="G187" s="59" t="s">
        <v>65</v>
      </c>
      <c r="H187" s="244">
        <v>4.2</v>
      </c>
      <c r="I187" s="59" t="s">
        <v>65</v>
      </c>
      <c r="J187" s="21">
        <f t="shared" si="22"/>
        <v>3.8865671641791044</v>
      </c>
    </row>
    <row r="188" spans="1:10" s="57" customFormat="1" ht="12.75" customHeight="1">
      <c r="A188" s="62"/>
      <c r="B188" s="58">
        <v>1984</v>
      </c>
      <c r="C188" s="244">
        <v>81</v>
      </c>
      <c r="D188" s="244">
        <v>20.6</v>
      </c>
      <c r="E188" s="22">
        <v>8.4</v>
      </c>
      <c r="F188" s="328">
        <f t="shared" si="23"/>
        <v>22.303149606299215</v>
      </c>
      <c r="G188" s="59" t="s">
        <v>65</v>
      </c>
      <c r="H188" s="244">
        <v>5.0999999999999996</v>
      </c>
      <c r="I188" s="59" t="s">
        <v>65</v>
      </c>
      <c r="J188" s="21">
        <f t="shared" si="22"/>
        <v>4.7194029850746269</v>
      </c>
    </row>
    <row r="189" spans="1:10" s="57" customFormat="1" ht="12.75" customHeight="1">
      <c r="A189" s="62"/>
      <c r="B189" s="58">
        <v>1985</v>
      </c>
      <c r="C189" s="244">
        <v>91.2</v>
      </c>
      <c r="D189" s="244">
        <v>22.7</v>
      </c>
      <c r="E189" s="22">
        <v>10.9</v>
      </c>
      <c r="F189" s="328">
        <f t="shared" si="23"/>
        <v>24.872344161545215</v>
      </c>
      <c r="G189" s="59" t="s">
        <v>65</v>
      </c>
      <c r="H189" s="244">
        <v>5.6</v>
      </c>
      <c r="I189" s="59" t="s">
        <v>65</v>
      </c>
      <c r="J189" s="21">
        <f t="shared" si="22"/>
        <v>5.1820895522388062</v>
      </c>
    </row>
    <row r="190" spans="1:10" s="57" customFormat="1" ht="12.75" customHeight="1">
      <c r="A190" s="62"/>
      <c r="B190" s="58">
        <v>1986</v>
      </c>
      <c r="C190" s="244">
        <v>97.7</v>
      </c>
      <c r="D190" s="244">
        <v>26.1</v>
      </c>
      <c r="E190" s="22">
        <v>12.4</v>
      </c>
      <c r="F190" s="328">
        <f t="shared" si="23"/>
        <v>28.714216478190632</v>
      </c>
      <c r="G190" s="59" t="s">
        <v>65</v>
      </c>
      <c r="H190" s="244">
        <v>5.7</v>
      </c>
      <c r="I190" s="59" t="s">
        <v>65</v>
      </c>
      <c r="J190" s="21">
        <f>J191*H190/H191</f>
        <v>5.2746268656716424</v>
      </c>
    </row>
    <row r="191" spans="1:10" s="57" customFormat="1" ht="12.75" customHeight="1">
      <c r="A191" s="62"/>
      <c r="B191" s="58">
        <v>1987</v>
      </c>
      <c r="C191" s="244">
        <v>103.9</v>
      </c>
      <c r="D191" s="244">
        <v>27.7</v>
      </c>
      <c r="E191" s="22">
        <v>14.2</v>
      </c>
      <c r="F191" s="328">
        <f t="shared" si="23"/>
        <v>30.688905775075987</v>
      </c>
      <c r="G191" s="332">
        <f>'[1]Table 1.3.4'!J10</f>
        <v>29.5</v>
      </c>
      <c r="H191" s="244">
        <v>6.7</v>
      </c>
      <c r="I191" s="332">
        <f>'[1]Table 1.3.4'!K10</f>
        <v>6.2</v>
      </c>
      <c r="J191" s="22">
        <f>I191</f>
        <v>6.2</v>
      </c>
    </row>
    <row r="192" spans="1:10" s="57" customFormat="1" ht="12.75" customHeight="1">
      <c r="A192" s="62"/>
      <c r="B192" s="58">
        <v>1988</v>
      </c>
      <c r="C192" s="244">
        <v>117.8</v>
      </c>
      <c r="D192" s="244">
        <v>29.4</v>
      </c>
      <c r="E192" s="22">
        <v>15.7</v>
      </c>
      <c r="F192" s="328">
        <f t="shared" si="23"/>
        <v>32.535733695652169</v>
      </c>
      <c r="G192" s="332">
        <f>'[1]Table 1.3.4'!J11</f>
        <v>31.5</v>
      </c>
      <c r="H192" s="244">
        <v>9.4</v>
      </c>
      <c r="I192" s="332">
        <f>'[1]Table 1.3.4'!K11</f>
        <v>8.8000000000000007</v>
      </c>
      <c r="J192" s="22">
        <f>I192</f>
        <v>8.8000000000000007</v>
      </c>
    </row>
    <row r="193" spans="1:17" s="57" customFormat="1" ht="12.75" customHeight="1">
      <c r="A193" s="62"/>
      <c r="B193" s="58">
        <v>1989</v>
      </c>
      <c r="C193" s="244">
        <v>125.7</v>
      </c>
      <c r="D193" s="244">
        <v>31.4</v>
      </c>
      <c r="E193" s="22">
        <v>17.7</v>
      </c>
      <c r="F193" s="328">
        <f t="shared" si="23"/>
        <v>34.937746658179499</v>
      </c>
      <c r="G193" s="332">
        <f>'[1]Table 1.3.4'!J12</f>
        <v>33.700000000000003</v>
      </c>
      <c r="H193" s="244">
        <v>12.7</v>
      </c>
      <c r="I193" s="332">
        <f>'[1]Table 1.3.4'!K12</f>
        <v>11.3</v>
      </c>
      <c r="J193" s="22">
        <f>I193</f>
        <v>11.3</v>
      </c>
    </row>
    <row r="194" spans="1:17" s="57" customFormat="1" ht="18" customHeight="1">
      <c r="B194" s="123" t="s">
        <v>23</v>
      </c>
      <c r="C194" s="28" t="s">
        <v>100</v>
      </c>
      <c r="D194" s="29"/>
      <c r="E194" s="27" t="s">
        <v>101</v>
      </c>
      <c r="F194" s="27" t="s">
        <v>102</v>
      </c>
      <c r="G194" s="63" t="s">
        <v>103</v>
      </c>
      <c r="H194" s="63" t="s">
        <v>104</v>
      </c>
      <c r="I194" s="63" t="s">
        <v>662</v>
      </c>
      <c r="J194" s="27" t="s">
        <v>663</v>
      </c>
    </row>
    <row r="195" spans="1:17" s="41" customFormat="1" ht="18" customHeight="1">
      <c r="B195" s="39" t="str">
        <f>C194</f>
        <v>[P3a]</v>
      </c>
      <c r="C195" s="40" t="s">
        <v>664</v>
      </c>
      <c r="D195" s="40"/>
      <c r="E195" s="40"/>
      <c r="F195" s="40"/>
      <c r="G195" s="40"/>
      <c r="H195" s="40"/>
      <c r="I195" s="40"/>
      <c r="J195" s="40"/>
      <c r="K195" s="40"/>
      <c r="L195" s="40"/>
      <c r="M195" s="40"/>
      <c r="N195" s="40"/>
      <c r="O195" s="40"/>
      <c r="P195" s="40"/>
      <c r="Q195" s="40"/>
    </row>
    <row r="196" spans="1:17" s="41" customFormat="1" ht="18" customHeight="1">
      <c r="B196" s="39" t="str">
        <f>E194</f>
        <v>[P3b]</v>
      </c>
      <c r="C196" s="40" t="s">
        <v>665</v>
      </c>
      <c r="D196" s="40"/>
      <c r="E196" s="40"/>
      <c r="F196" s="40"/>
      <c r="G196" s="40"/>
      <c r="H196" s="40"/>
      <c r="I196" s="40"/>
      <c r="J196" s="40"/>
      <c r="K196" s="40"/>
      <c r="L196" s="40"/>
      <c r="M196" s="40"/>
      <c r="N196" s="40"/>
      <c r="O196" s="40"/>
      <c r="P196" s="40"/>
      <c r="Q196" s="40"/>
    </row>
    <row r="197" spans="1:17" s="41" customFormat="1" ht="18" customHeight="1">
      <c r="B197" s="39" t="str">
        <f>F194</f>
        <v>[P3c]</v>
      </c>
      <c r="C197" s="40" t="s">
        <v>666</v>
      </c>
      <c r="D197" s="40"/>
      <c r="E197" s="40"/>
      <c r="F197" s="40"/>
      <c r="G197" s="40"/>
      <c r="H197" s="40"/>
      <c r="I197" s="40"/>
      <c r="J197" s="40"/>
      <c r="K197" s="40"/>
      <c r="L197" s="40"/>
      <c r="M197" s="40"/>
      <c r="N197" s="40"/>
      <c r="O197" s="40"/>
      <c r="P197" s="40"/>
      <c r="Q197" s="40"/>
    </row>
    <row r="198" spans="1:17" s="41" customFormat="1" ht="18" customHeight="1">
      <c r="B198" s="39" t="str">
        <f>G194</f>
        <v>[P3d]</v>
      </c>
      <c r="C198" s="40" t="s">
        <v>667</v>
      </c>
      <c r="D198" s="40"/>
      <c r="E198" s="40"/>
      <c r="F198" s="40"/>
      <c r="G198" s="40"/>
      <c r="H198" s="40"/>
      <c r="I198" s="40"/>
      <c r="J198" s="40"/>
      <c r="K198" s="40"/>
      <c r="L198" s="40"/>
      <c r="M198" s="40"/>
      <c r="N198" s="40"/>
      <c r="O198" s="40"/>
      <c r="P198" s="40"/>
      <c r="Q198" s="40"/>
    </row>
    <row r="199" spans="1:17" s="41" customFormat="1" ht="18" customHeight="1">
      <c r="B199" s="39" t="str">
        <f>H194</f>
        <v>[P3e]</v>
      </c>
      <c r="C199" s="40" t="s">
        <v>668</v>
      </c>
      <c r="D199" s="40"/>
      <c r="E199" s="40"/>
      <c r="F199" s="40"/>
      <c r="G199" s="40"/>
      <c r="H199" s="40"/>
      <c r="I199" s="40"/>
      <c r="J199" s="40"/>
      <c r="K199" s="40"/>
      <c r="L199" s="40"/>
      <c r="M199" s="40"/>
      <c r="N199" s="40"/>
      <c r="O199" s="40"/>
      <c r="P199" s="40"/>
      <c r="Q199" s="40"/>
    </row>
    <row r="200" spans="1:17" s="41" customFormat="1" ht="24.75" customHeight="1">
      <c r="B200" s="39" t="str">
        <f>I194</f>
        <v>[P3f]</v>
      </c>
      <c r="C200" s="40" t="s">
        <v>669</v>
      </c>
      <c r="D200" s="40"/>
      <c r="E200" s="40"/>
      <c r="F200" s="40"/>
      <c r="G200" s="40"/>
      <c r="H200" s="40"/>
      <c r="I200" s="40"/>
      <c r="J200" s="40"/>
      <c r="K200" s="40"/>
      <c r="L200" s="40"/>
      <c r="M200" s="40"/>
      <c r="N200" s="40"/>
      <c r="O200" s="40"/>
      <c r="P200" s="40"/>
      <c r="Q200" s="40"/>
    </row>
    <row r="201" spans="1:17" s="41" customFormat="1" ht="18" customHeight="1">
      <c r="B201" s="39" t="str">
        <f>J194</f>
        <v>[P3g]</v>
      </c>
      <c r="C201" s="40" t="s">
        <v>670</v>
      </c>
      <c r="D201" s="40"/>
      <c r="E201" s="40"/>
      <c r="F201" s="40"/>
      <c r="G201" s="40"/>
      <c r="H201" s="40"/>
      <c r="I201" s="40"/>
      <c r="J201" s="40"/>
      <c r="K201" s="40"/>
      <c r="L201" s="40"/>
      <c r="M201" s="40"/>
      <c r="N201" s="40"/>
      <c r="O201" s="40"/>
      <c r="P201" s="40"/>
      <c r="Q201" s="40"/>
    </row>
    <row r="202" spans="1:17" s="38" customFormat="1" ht="18" customHeight="1">
      <c r="A202" s="35" t="s">
        <v>202</v>
      </c>
      <c r="B202" s="67" t="s">
        <v>671</v>
      </c>
      <c r="C202" s="67"/>
      <c r="D202" s="67"/>
      <c r="E202" s="67"/>
      <c r="F202" s="67"/>
      <c r="G202" s="67"/>
      <c r="H202" s="67"/>
      <c r="I202" s="67"/>
      <c r="J202" s="330"/>
      <c r="K202" s="330"/>
      <c r="L202" s="330"/>
      <c r="M202" s="330"/>
      <c r="N202" s="330"/>
      <c r="O202" s="330"/>
      <c r="P202" s="331"/>
      <c r="Q202" s="331"/>
    </row>
    <row r="203" spans="1:17" s="49" customFormat="1" ht="24.75" customHeight="1">
      <c r="A203" s="12"/>
      <c r="B203" s="79" t="s">
        <v>94</v>
      </c>
      <c r="C203" s="14" t="s">
        <v>609</v>
      </c>
      <c r="D203" s="14" t="s">
        <v>672</v>
      </c>
      <c r="E203" s="14" t="s">
        <v>673</v>
      </c>
      <c r="F203" s="15" t="s">
        <v>674</v>
      </c>
      <c r="G203" s="28" t="s">
        <v>675</v>
      </c>
      <c r="H203" s="30"/>
      <c r="I203" s="29"/>
      <c r="J203" s="15" t="s">
        <v>676</v>
      </c>
      <c r="K203" s="48"/>
      <c r="L203" s="48"/>
      <c r="M203" s="48"/>
      <c r="N203" s="48"/>
      <c r="O203" s="48"/>
    </row>
    <row r="204" spans="1:17" s="49" customFormat="1" ht="36" customHeight="1">
      <c r="A204" s="12"/>
      <c r="B204" s="50"/>
      <c r="C204" s="18"/>
      <c r="D204" s="18"/>
      <c r="E204" s="18"/>
      <c r="F204" s="9"/>
      <c r="G204" s="81" t="s">
        <v>677</v>
      </c>
      <c r="H204" s="81" t="s">
        <v>678</v>
      </c>
      <c r="I204" s="81" t="s">
        <v>646</v>
      </c>
      <c r="J204" s="9"/>
      <c r="K204" s="48"/>
      <c r="L204" s="48"/>
      <c r="M204" s="48"/>
      <c r="N204" s="48"/>
      <c r="O204" s="48"/>
    </row>
    <row r="205" spans="1:17" s="49" customFormat="1" ht="12.75">
      <c r="A205" s="12"/>
      <c r="B205" s="58">
        <v>2006</v>
      </c>
      <c r="C205" s="22">
        <f t="shared" ref="C205:C210" si="24">G84</f>
        <v>103.6</v>
      </c>
      <c r="D205" s="22">
        <f t="shared" ref="D205:D220" si="25">N84</f>
        <v>6058.2</v>
      </c>
      <c r="E205" s="54">
        <f t="shared" ref="E205:E210" si="26">1000*C205/D205</f>
        <v>17.100789013238256</v>
      </c>
      <c r="F205" s="239">
        <f t="shared" ref="F205:F210" si="27">C205</f>
        <v>103.6</v>
      </c>
      <c r="G205" s="239">
        <f>'[1]Table 1.3.6'!I10</f>
        <v>140</v>
      </c>
      <c r="H205" s="239">
        <f>'[1]Table 1.3.4'!J29+'[1]Table 1.3.4'!K29</f>
        <v>140.19999999999999</v>
      </c>
      <c r="I205" s="239">
        <f t="shared" ref="I205:I210" si="28">H205</f>
        <v>140.19999999999999</v>
      </c>
      <c r="J205" s="292">
        <f>I205-F205</f>
        <v>36.599999999999994</v>
      </c>
      <c r="K205" s="48"/>
      <c r="L205" s="48"/>
      <c r="M205" s="48"/>
      <c r="N205" s="48"/>
      <c r="O205" s="48"/>
    </row>
    <row r="206" spans="1:17" s="49" customFormat="1" ht="12.75">
      <c r="A206" s="12"/>
      <c r="B206" s="58">
        <v>2007</v>
      </c>
      <c r="C206" s="22">
        <f t="shared" si="24"/>
        <v>109.2</v>
      </c>
      <c r="D206" s="22">
        <f t="shared" si="25"/>
        <v>6396</v>
      </c>
      <c r="E206" s="54">
        <f t="shared" si="26"/>
        <v>17.073170731707318</v>
      </c>
      <c r="F206" s="244">
        <f t="shared" si="27"/>
        <v>109.2</v>
      </c>
      <c r="G206" s="244">
        <f>'[1]Table 1.3.6'!I11</f>
        <v>150</v>
      </c>
      <c r="H206" s="244">
        <f>'[1]Table 1.3.4'!J30+'[1]Table 1.3.4'!K30</f>
        <v>149.5</v>
      </c>
      <c r="I206" s="244">
        <f t="shared" si="28"/>
        <v>149.5</v>
      </c>
      <c r="J206" s="292">
        <f t="shared" ref="J206:J220" si="29">I206-F206</f>
        <v>40.299999999999997</v>
      </c>
      <c r="K206" s="48"/>
      <c r="L206" s="48"/>
      <c r="M206" s="48"/>
      <c r="N206" s="48"/>
      <c r="O206" s="48"/>
    </row>
    <row r="207" spans="1:17" s="49" customFormat="1" ht="12.75">
      <c r="A207" s="12"/>
      <c r="B207" s="58">
        <v>2008</v>
      </c>
      <c r="C207" s="22">
        <f t="shared" si="24"/>
        <v>112.3</v>
      </c>
      <c r="D207" s="22">
        <f t="shared" si="25"/>
        <v>6532.8</v>
      </c>
      <c r="E207" s="54">
        <f t="shared" si="26"/>
        <v>17.190178790105314</v>
      </c>
      <c r="F207" s="244">
        <f t="shared" si="27"/>
        <v>112.3</v>
      </c>
      <c r="G207" s="244">
        <f>'[1]Table 1.3.6'!I12</f>
        <v>157</v>
      </c>
      <c r="H207" s="244">
        <f>'[1]Table 1.3.4'!J31+'[1]Table 1.3.4'!K31</f>
        <v>156.5</v>
      </c>
      <c r="I207" s="244">
        <f t="shared" si="28"/>
        <v>156.5</v>
      </c>
      <c r="J207" s="292">
        <f t="shared" si="29"/>
        <v>44.2</v>
      </c>
      <c r="K207" s="48"/>
      <c r="L207" s="48"/>
      <c r="M207" s="48"/>
      <c r="N207" s="48"/>
      <c r="O207" s="48"/>
    </row>
    <row r="208" spans="1:17" s="57" customFormat="1" ht="12.75" customHeight="1">
      <c r="A208" s="12"/>
      <c r="B208" s="58">
        <v>2009</v>
      </c>
      <c r="C208" s="22">
        <f t="shared" si="24"/>
        <v>108.5</v>
      </c>
      <c r="D208" s="22">
        <f t="shared" si="25"/>
        <v>6252.2</v>
      </c>
      <c r="E208" s="54">
        <f t="shared" si="26"/>
        <v>17.353891430216564</v>
      </c>
      <c r="F208" s="244">
        <f t="shared" si="27"/>
        <v>108.5</v>
      </c>
      <c r="G208" s="244">
        <f>'[1]Table 1.3.6'!I13</f>
        <v>155</v>
      </c>
      <c r="H208" s="244">
        <f>'[1]Table 1.3.4'!J32+'[1]Table 1.3.4'!K32</f>
        <v>155.69999999999999</v>
      </c>
      <c r="I208" s="244">
        <f t="shared" si="28"/>
        <v>155.69999999999999</v>
      </c>
      <c r="J208" s="292">
        <f t="shared" si="29"/>
        <v>47.199999999999989</v>
      </c>
      <c r="K208" s="48"/>
      <c r="L208" s="48"/>
      <c r="M208" s="48"/>
      <c r="N208" s="48"/>
      <c r="O208" s="48"/>
    </row>
    <row r="209" spans="1:17" s="57" customFormat="1" ht="12.75" customHeight="1">
      <c r="A209" s="12"/>
      <c r="B209" s="58">
        <v>2010</v>
      </c>
      <c r="C209" s="22">
        <f t="shared" si="24"/>
        <v>112.3</v>
      </c>
      <c r="D209" s="22">
        <f t="shared" si="25"/>
        <v>6377.5</v>
      </c>
      <c r="E209" s="54">
        <f t="shared" si="26"/>
        <v>17.608780870246964</v>
      </c>
      <c r="F209" s="244">
        <f t="shared" si="27"/>
        <v>112.3</v>
      </c>
      <c r="G209" s="244">
        <f>'[1]Table 1.3.6'!I14</f>
        <v>163</v>
      </c>
      <c r="H209" s="244">
        <f>'[1]Table 1.3.4'!J33+'[1]Table 1.3.4'!K33</f>
        <v>161.5</v>
      </c>
      <c r="I209" s="244">
        <f t="shared" si="28"/>
        <v>161.5</v>
      </c>
      <c r="J209" s="292">
        <f t="shared" si="29"/>
        <v>49.2</v>
      </c>
      <c r="K209" s="48"/>
      <c r="L209" s="48"/>
      <c r="M209" s="48"/>
      <c r="N209" s="48"/>
      <c r="O209" s="48"/>
    </row>
    <row r="210" spans="1:17" s="57" customFormat="1" ht="12.75" customHeight="1">
      <c r="A210" s="12"/>
      <c r="B210" s="58">
        <v>2011</v>
      </c>
      <c r="C210" s="22">
        <f t="shared" si="24"/>
        <v>117.4</v>
      </c>
      <c r="D210" s="22">
        <f t="shared" si="25"/>
        <v>6638.7</v>
      </c>
      <c r="E210" s="54">
        <f t="shared" si="26"/>
        <v>17.684185156732493</v>
      </c>
      <c r="F210" s="244">
        <f t="shared" si="27"/>
        <v>117.4</v>
      </c>
      <c r="G210" s="244">
        <f>'[1]Table 1.3.6'!I15</f>
        <v>167</v>
      </c>
      <c r="H210" s="244">
        <f>'[1]Table 1.3.4'!J34+'[1]Table 1.3.4'!K34</f>
        <v>168.60000000000002</v>
      </c>
      <c r="I210" s="244">
        <f t="shared" si="28"/>
        <v>168.60000000000002</v>
      </c>
      <c r="J210" s="292">
        <f t="shared" si="29"/>
        <v>51.200000000000017</v>
      </c>
      <c r="K210" s="48"/>
      <c r="L210" s="48"/>
      <c r="M210" s="48"/>
      <c r="N210" s="48"/>
      <c r="O210" s="48"/>
    </row>
    <row r="211" spans="1:17" s="57" customFormat="1" ht="12.75" customHeight="1">
      <c r="A211" s="12"/>
      <c r="B211" s="58">
        <v>2012</v>
      </c>
      <c r="C211" s="82" t="s">
        <v>65</v>
      </c>
      <c r="D211" s="22">
        <f t="shared" si="25"/>
        <v>6926.8</v>
      </c>
      <c r="E211" s="100">
        <f>TREND(E206:E210,B206:B210,B211)</f>
        <v>17.874230674859348</v>
      </c>
      <c r="F211" s="328">
        <f>D211*E211/1000</f>
        <v>123.81122103861574</v>
      </c>
      <c r="G211" s="244">
        <f>'[1]Table 1.3.6'!I16</f>
        <v>175</v>
      </c>
      <c r="H211" s="59" t="s">
        <v>65</v>
      </c>
      <c r="I211" s="328">
        <f>I210*G211/G210</f>
        <v>176.67664670658684</v>
      </c>
      <c r="J211" s="293">
        <f t="shared" si="29"/>
        <v>52.865425667971095</v>
      </c>
      <c r="K211" s="48"/>
      <c r="L211" s="48"/>
      <c r="M211" s="48"/>
      <c r="N211" s="48"/>
      <c r="O211" s="48"/>
    </row>
    <row r="212" spans="1:17" s="57" customFormat="1" ht="12.75" customHeight="1">
      <c r="A212" s="12"/>
      <c r="B212" s="58">
        <v>2013</v>
      </c>
      <c r="C212" s="82" t="s">
        <v>65</v>
      </c>
      <c r="D212" s="22">
        <f t="shared" si="25"/>
        <v>7040.3147133645416</v>
      </c>
      <c r="E212" s="100">
        <f t="shared" ref="E212:E220" si="30">TREND(E207:E211,B207:B211,B212)</f>
        <v>18.051772633239295</v>
      </c>
      <c r="F212" s="328">
        <f t="shared" ref="F212:F220" si="31">D212*E212/1000</f>
        <v>127.09016047210598</v>
      </c>
      <c r="G212" s="244">
        <f>'[1]Table 1.3.6'!I17</f>
        <v>194</v>
      </c>
      <c r="H212" s="59" t="s">
        <v>65</v>
      </c>
      <c r="I212" s="328">
        <f t="shared" ref="I212:I220" si="32">I211*G212/G211</f>
        <v>195.85868263473057</v>
      </c>
      <c r="J212" s="293">
        <f t="shared" si="29"/>
        <v>68.768522162624592</v>
      </c>
    </row>
    <row r="213" spans="1:17" s="57" customFormat="1" ht="12.75" customHeight="1">
      <c r="A213" s="12"/>
      <c r="B213" s="58">
        <v>2014</v>
      </c>
      <c r="C213" s="82" t="s">
        <v>65</v>
      </c>
      <c r="D213" s="22">
        <f t="shared" si="25"/>
        <v>7408.6630762842042</v>
      </c>
      <c r="E213" s="100">
        <f t="shared" si="30"/>
        <v>18.212935816256277</v>
      </c>
      <c r="F213" s="328">
        <f t="shared" si="31"/>
        <v>134.933505092632</v>
      </c>
      <c r="G213" s="244">
        <f>'[1]Table 1.3.6'!I18</f>
        <v>205</v>
      </c>
      <c r="H213" s="59" t="s">
        <v>65</v>
      </c>
      <c r="I213" s="328">
        <f t="shared" si="32"/>
        <v>206.96407185628746</v>
      </c>
      <c r="J213" s="293">
        <f t="shared" si="29"/>
        <v>72.030566763655457</v>
      </c>
    </row>
    <row r="214" spans="1:17" s="57" customFormat="1" ht="12.75" customHeight="1">
      <c r="A214" s="12"/>
      <c r="B214" s="58">
        <v>2015</v>
      </c>
      <c r="C214" s="82" t="s">
        <v>65</v>
      </c>
      <c r="D214" s="22">
        <f t="shared" si="25"/>
        <v>7888.7564014163045</v>
      </c>
      <c r="E214" s="100">
        <f t="shared" si="30"/>
        <v>18.359150240824533</v>
      </c>
      <c r="F214" s="328">
        <f t="shared" si="31"/>
        <v>144.83086398686822</v>
      </c>
      <c r="G214" s="244">
        <f>'[1]Table 1.3.6'!I19</f>
        <v>220</v>
      </c>
      <c r="H214" s="59" t="s">
        <v>65</v>
      </c>
      <c r="I214" s="328">
        <f t="shared" si="32"/>
        <v>222.10778443113779</v>
      </c>
      <c r="J214" s="293">
        <f t="shared" si="29"/>
        <v>77.276920444269564</v>
      </c>
    </row>
    <row r="215" spans="1:17" s="57" customFormat="1" ht="12.75" customHeight="1">
      <c r="A215" s="12"/>
      <c r="B215" s="58">
        <v>2016</v>
      </c>
      <c r="C215" s="82" t="s">
        <v>65</v>
      </c>
      <c r="D215" s="22">
        <f t="shared" si="25"/>
        <v>8423.0414698775257</v>
      </c>
      <c r="E215" s="100">
        <f t="shared" si="30"/>
        <v>18.543045497256685</v>
      </c>
      <c r="F215" s="328">
        <f t="shared" si="31"/>
        <v>156.18884120121876</v>
      </c>
      <c r="G215" s="244">
        <f>'[1]Table 1.3.6'!I20</f>
        <v>236</v>
      </c>
      <c r="H215" s="59" t="s">
        <v>65</v>
      </c>
      <c r="I215" s="328">
        <f t="shared" si="32"/>
        <v>238.26107784431144</v>
      </c>
      <c r="J215" s="293">
        <f t="shared" si="29"/>
        <v>82.07223664309268</v>
      </c>
    </row>
    <row r="216" spans="1:17" s="57" customFormat="1" ht="12.75" customHeight="1">
      <c r="A216" s="12"/>
      <c r="B216" s="58">
        <v>2017</v>
      </c>
      <c r="C216" s="82" t="s">
        <v>65</v>
      </c>
      <c r="D216" s="22">
        <f t="shared" si="25"/>
        <v>8959.5875531807833</v>
      </c>
      <c r="E216" s="100">
        <f t="shared" si="30"/>
        <v>18.701729148201196</v>
      </c>
      <c r="F216" s="328">
        <f t="shared" si="31"/>
        <v>167.55977969918166</v>
      </c>
      <c r="G216" s="244">
        <f>'[1]Table 1.3.6'!I21</f>
        <v>254</v>
      </c>
      <c r="H216" s="59" t="s">
        <v>65</v>
      </c>
      <c r="I216" s="328">
        <f t="shared" si="32"/>
        <v>256.43353293413179</v>
      </c>
      <c r="J216" s="293">
        <f t="shared" si="29"/>
        <v>88.873753234950129</v>
      </c>
    </row>
    <row r="217" spans="1:17" s="57" customFormat="1" ht="12.75" customHeight="1">
      <c r="A217" s="12"/>
      <c r="B217" s="58">
        <v>2018</v>
      </c>
      <c r="C217" s="82" t="s">
        <v>65</v>
      </c>
      <c r="D217" s="22">
        <f t="shared" si="25"/>
        <v>9428.9479435173234</v>
      </c>
      <c r="E217" s="100">
        <f t="shared" si="30"/>
        <v>18.862733480432894</v>
      </c>
      <c r="F217" s="328">
        <f t="shared" si="31"/>
        <v>177.85573205944311</v>
      </c>
      <c r="G217" s="244">
        <f>'[1]Table 1.3.6'!I22</f>
        <v>273</v>
      </c>
      <c r="H217" s="59" t="s">
        <v>65</v>
      </c>
      <c r="I217" s="328">
        <f t="shared" si="32"/>
        <v>275.6155688622755</v>
      </c>
      <c r="J217" s="293">
        <f t="shared" si="29"/>
        <v>97.759836802832382</v>
      </c>
    </row>
    <row r="218" spans="1:17" s="57" customFormat="1" ht="12.75" customHeight="1">
      <c r="A218" s="62"/>
      <c r="B218" s="58">
        <v>2019</v>
      </c>
      <c r="C218" s="82" t="s">
        <v>65</v>
      </c>
      <c r="D218" s="22">
        <f t="shared" si="25"/>
        <v>9887.6294831342602</v>
      </c>
      <c r="E218" s="100">
        <f t="shared" si="30"/>
        <v>19.028571107313269</v>
      </c>
      <c r="F218" s="328">
        <f t="shared" si="31"/>
        <v>188.14746070258741</v>
      </c>
      <c r="G218" s="244">
        <f>'[1]Table 1.3.6'!I23</f>
        <v>292</v>
      </c>
      <c r="H218" s="59" t="s">
        <v>65</v>
      </c>
      <c r="I218" s="328">
        <f t="shared" si="32"/>
        <v>294.7976047904192</v>
      </c>
      <c r="J218" s="293">
        <f t="shared" si="29"/>
        <v>106.65014408783179</v>
      </c>
    </row>
    <row r="219" spans="1:17" s="57" customFormat="1" ht="12.75" customHeight="1">
      <c r="A219" s="62"/>
      <c r="B219" s="58">
        <v>2020</v>
      </c>
      <c r="C219" s="82" t="s">
        <v>65</v>
      </c>
      <c r="D219" s="22">
        <f t="shared" si="25"/>
        <v>10358.75812228746</v>
      </c>
      <c r="E219" s="100">
        <f t="shared" si="30"/>
        <v>19.196604809651831</v>
      </c>
      <c r="F219" s="328">
        <f t="shared" si="31"/>
        <v>198.8529859923234</v>
      </c>
      <c r="G219" s="244">
        <f>'[1]Table 1.3.6'!I24</f>
        <v>311</v>
      </c>
      <c r="H219" s="59" t="s">
        <v>65</v>
      </c>
      <c r="I219" s="328">
        <f t="shared" si="32"/>
        <v>313.97964071856291</v>
      </c>
      <c r="J219" s="293">
        <f t="shared" si="29"/>
        <v>115.12665472623951</v>
      </c>
    </row>
    <row r="220" spans="1:17" s="57" customFormat="1" ht="12.75" customHeight="1">
      <c r="A220" s="62"/>
      <c r="B220" s="58">
        <v>2021</v>
      </c>
      <c r="C220" s="82" t="s">
        <v>65</v>
      </c>
      <c r="D220" s="22">
        <f t="shared" si="25"/>
        <v>10843.8346940847</v>
      </c>
      <c r="E220" s="100">
        <f t="shared" si="30"/>
        <v>19.356724983741913</v>
      </c>
      <c r="F220" s="328">
        <f t="shared" si="31"/>
        <v>209.90112594255666</v>
      </c>
      <c r="G220" s="244">
        <f>'[1]Table 1.3.6'!I25</f>
        <v>332</v>
      </c>
      <c r="H220" s="59" t="s">
        <v>65</v>
      </c>
      <c r="I220" s="328">
        <f t="shared" si="32"/>
        <v>335.18083832335333</v>
      </c>
      <c r="J220" s="293">
        <f t="shared" si="29"/>
        <v>125.27971238079667</v>
      </c>
    </row>
    <row r="221" spans="1:17" s="57" customFormat="1" ht="18" customHeight="1">
      <c r="B221" s="123" t="s">
        <v>23</v>
      </c>
      <c r="C221" s="27" t="s">
        <v>211</v>
      </c>
      <c r="D221" s="27" t="s">
        <v>212</v>
      </c>
      <c r="E221" s="27" t="s">
        <v>213</v>
      </c>
      <c r="F221" s="63" t="s">
        <v>214</v>
      </c>
      <c r="G221" s="63" t="s">
        <v>215</v>
      </c>
      <c r="H221" s="63" t="s">
        <v>531</v>
      </c>
      <c r="I221" s="63" t="s">
        <v>532</v>
      </c>
      <c r="J221" s="27" t="s">
        <v>533</v>
      </c>
    </row>
    <row r="222" spans="1:17" s="41" customFormat="1" ht="18" customHeight="1">
      <c r="B222" s="39" t="str">
        <f>C221</f>
        <v>[P4a]</v>
      </c>
      <c r="C222" s="40" t="s">
        <v>679</v>
      </c>
      <c r="D222" s="40"/>
      <c r="E222" s="40"/>
      <c r="F222" s="40"/>
      <c r="G222" s="40"/>
      <c r="H222" s="40"/>
      <c r="I222" s="40"/>
      <c r="J222" s="40"/>
      <c r="K222" s="40"/>
      <c r="L222" s="40"/>
      <c r="M222" s="40"/>
      <c r="N222" s="40"/>
      <c r="O222" s="40"/>
      <c r="P222" s="40"/>
      <c r="Q222" s="40"/>
    </row>
    <row r="223" spans="1:17" s="41" customFormat="1" ht="18" customHeight="1">
      <c r="A223" s="39"/>
      <c r="B223" s="39" t="str">
        <f>D221</f>
        <v>[P4b]</v>
      </c>
      <c r="C223" s="88" t="s">
        <v>680</v>
      </c>
      <c r="D223" s="88"/>
      <c r="E223" s="88"/>
      <c r="F223" s="88"/>
      <c r="G223" s="88"/>
      <c r="H223" s="88"/>
      <c r="I223" s="88"/>
      <c r="J223" s="88"/>
      <c r="K223" s="88"/>
      <c r="L223" s="88"/>
      <c r="M223" s="88"/>
      <c r="N223" s="88"/>
      <c r="O223" s="88"/>
      <c r="P223" s="88"/>
      <c r="Q223" s="88"/>
    </row>
    <row r="224" spans="1:17" s="41" customFormat="1" ht="24.75" customHeight="1">
      <c r="A224" s="39"/>
      <c r="B224" s="39" t="str">
        <f>E221</f>
        <v>[P4c]</v>
      </c>
      <c r="C224" s="88" t="s">
        <v>681</v>
      </c>
      <c r="D224" s="88"/>
      <c r="E224" s="88"/>
      <c r="F224" s="88"/>
      <c r="G224" s="88"/>
      <c r="H224" s="88"/>
      <c r="I224" s="88"/>
      <c r="J224" s="88"/>
      <c r="K224" s="88"/>
      <c r="L224" s="88"/>
      <c r="M224" s="88"/>
      <c r="N224" s="88"/>
      <c r="O224" s="88"/>
      <c r="P224" s="88"/>
      <c r="Q224" s="88"/>
    </row>
    <row r="225" spans="1:17" s="41" customFormat="1" ht="18" customHeight="1">
      <c r="A225" s="39"/>
      <c r="B225" s="39" t="str">
        <f>F221</f>
        <v>[P4d]</v>
      </c>
      <c r="C225" s="88" t="s">
        <v>682</v>
      </c>
      <c r="D225" s="88"/>
      <c r="E225" s="88"/>
      <c r="F225" s="88"/>
      <c r="G225" s="88"/>
      <c r="H225" s="88"/>
      <c r="I225" s="88"/>
      <c r="J225" s="88"/>
      <c r="K225" s="88"/>
      <c r="L225" s="88"/>
      <c r="M225" s="88"/>
      <c r="N225" s="88"/>
      <c r="O225" s="88"/>
      <c r="P225" s="88"/>
      <c r="Q225" s="88"/>
    </row>
    <row r="226" spans="1:17" s="41" customFormat="1" ht="24.75" customHeight="1">
      <c r="A226" s="39"/>
      <c r="B226" s="39" t="str">
        <f>G221</f>
        <v>[P4e]</v>
      </c>
      <c r="C226" s="40" t="s">
        <v>683</v>
      </c>
      <c r="D226" s="40"/>
      <c r="E226" s="40"/>
      <c r="F226" s="40"/>
      <c r="G226" s="40"/>
      <c r="H226" s="40"/>
      <c r="I226" s="40"/>
      <c r="J226" s="40"/>
      <c r="K226" s="40"/>
      <c r="L226" s="40"/>
      <c r="M226" s="40"/>
      <c r="N226" s="40"/>
      <c r="O226" s="40"/>
      <c r="P226" s="40"/>
      <c r="Q226" s="40"/>
    </row>
    <row r="227" spans="1:17" s="41" customFormat="1" ht="24.75" customHeight="1">
      <c r="A227" s="39"/>
      <c r="B227" s="39" t="str">
        <f>H221</f>
        <v>[P4f]</v>
      </c>
      <c r="C227" s="40" t="s">
        <v>684</v>
      </c>
      <c r="D227" s="40"/>
      <c r="E227" s="40"/>
      <c r="F227" s="40"/>
      <c r="G227" s="40"/>
      <c r="H227" s="40"/>
      <c r="I227" s="40"/>
      <c r="J227" s="40"/>
      <c r="K227" s="40"/>
      <c r="L227" s="40"/>
      <c r="M227" s="40"/>
      <c r="N227" s="40"/>
      <c r="O227" s="40"/>
      <c r="P227" s="40"/>
      <c r="Q227" s="40"/>
    </row>
    <row r="228" spans="1:17" s="41" customFormat="1" ht="18" customHeight="1">
      <c r="A228" s="39"/>
      <c r="B228" s="39" t="str">
        <f>I221</f>
        <v>[P4g]</v>
      </c>
      <c r="C228" s="88" t="s">
        <v>685</v>
      </c>
      <c r="D228" s="88"/>
      <c r="E228" s="88"/>
      <c r="F228" s="88"/>
      <c r="G228" s="88"/>
      <c r="H228" s="88"/>
      <c r="I228" s="88"/>
      <c r="J228" s="88"/>
      <c r="K228" s="88"/>
      <c r="L228" s="88"/>
      <c r="M228" s="88"/>
      <c r="N228" s="88"/>
      <c r="O228" s="88"/>
      <c r="P228" s="88"/>
      <c r="Q228" s="88"/>
    </row>
    <row r="229" spans="1:17" s="41" customFormat="1" ht="18" customHeight="1">
      <c r="A229" s="39"/>
      <c r="B229" s="39" t="str">
        <f>J221</f>
        <v>[P4h]</v>
      </c>
      <c r="C229" s="88" t="s">
        <v>686</v>
      </c>
      <c r="D229" s="88"/>
      <c r="E229" s="88"/>
      <c r="F229" s="88"/>
      <c r="G229" s="88"/>
      <c r="H229" s="88"/>
      <c r="I229" s="88"/>
      <c r="J229" s="88"/>
      <c r="K229" s="88"/>
      <c r="L229" s="88"/>
      <c r="M229" s="88"/>
      <c r="N229" s="88"/>
      <c r="O229" s="88"/>
      <c r="P229" s="88"/>
      <c r="Q229" s="88"/>
    </row>
    <row r="230" spans="1:17" s="38" customFormat="1" ht="18" customHeight="1">
      <c r="A230" s="35" t="s">
        <v>221</v>
      </c>
      <c r="B230" s="67" t="s">
        <v>687</v>
      </c>
      <c r="C230" s="67"/>
      <c r="D230" s="67"/>
      <c r="E230" s="67"/>
      <c r="F230" s="67"/>
      <c r="G230" s="67"/>
      <c r="H230" s="67"/>
      <c r="I230" s="67"/>
      <c r="J230" s="67"/>
      <c r="K230" s="67"/>
      <c r="L230" s="67"/>
      <c r="M230" s="67"/>
      <c r="N230" s="67"/>
      <c r="O230" s="67"/>
      <c r="P230" s="67"/>
      <c r="Q230" s="67"/>
    </row>
    <row r="231" spans="1:17" s="49" customFormat="1" ht="36" customHeight="1">
      <c r="A231" s="12"/>
      <c r="B231" s="79" t="s">
        <v>94</v>
      </c>
      <c r="C231" s="28" t="s">
        <v>688</v>
      </c>
      <c r="D231" s="29"/>
      <c r="E231" s="14" t="s">
        <v>480</v>
      </c>
      <c r="F231" s="14" t="s">
        <v>689</v>
      </c>
      <c r="G231" s="28" t="s">
        <v>690</v>
      </c>
      <c r="H231" s="30"/>
    </row>
    <row r="232" spans="1:17" s="49" customFormat="1" ht="22.5" customHeight="1">
      <c r="A232" s="12"/>
      <c r="B232" s="10"/>
      <c r="C232" s="81" t="s">
        <v>691</v>
      </c>
      <c r="D232" s="81" t="s">
        <v>483</v>
      </c>
      <c r="E232" s="18"/>
      <c r="F232" s="18"/>
      <c r="G232" s="81" t="s">
        <v>691</v>
      </c>
      <c r="H232" s="81" t="s">
        <v>483</v>
      </c>
    </row>
    <row r="233" spans="1:17" s="57" customFormat="1" ht="12.75" customHeight="1">
      <c r="A233" s="12"/>
      <c r="B233" s="58">
        <v>2011</v>
      </c>
      <c r="C233" s="23">
        <v>6661.3</v>
      </c>
      <c r="D233" s="23">
        <f>N89</f>
        <v>6638.7</v>
      </c>
      <c r="E233" s="333">
        <f>D233/C233</f>
        <v>0.99660726885142537</v>
      </c>
      <c r="F233" s="85"/>
      <c r="G233" s="23">
        <v>1826.95</v>
      </c>
      <c r="H233" s="23">
        <f>P89</f>
        <v>1877.7</v>
      </c>
    </row>
    <row r="234" spans="1:17" s="57" customFormat="1" ht="12.75" customHeight="1">
      <c r="A234" s="12"/>
      <c r="B234" s="58">
        <v>2012</v>
      </c>
      <c r="C234" s="23">
        <v>6916.0320000000002</v>
      </c>
      <c r="D234" s="23">
        <f>N90</f>
        <v>6926.8</v>
      </c>
      <c r="E234" s="333">
        <f>D234/C234</f>
        <v>1.001556962142454</v>
      </c>
      <c r="F234" s="85">
        <f t="shared" ref="F234:F243" si="33">C234/C233-1</f>
        <v>3.8240583669854278E-2</v>
      </c>
      <c r="G234" s="23">
        <v>1938.8434999999999</v>
      </c>
      <c r="H234" s="23">
        <f>P90</f>
        <v>2009.5</v>
      </c>
    </row>
    <row r="235" spans="1:17" s="57" customFormat="1" ht="12.75" customHeight="1">
      <c r="A235" s="12"/>
      <c r="B235" s="58">
        <v>2013</v>
      </c>
      <c r="C235" s="23">
        <v>7029.3702499999999</v>
      </c>
      <c r="D235" s="82" t="s">
        <v>65</v>
      </c>
      <c r="E235" s="23"/>
      <c r="F235" s="85">
        <f t="shared" si="33"/>
        <v>1.6387756736810921E-2</v>
      </c>
      <c r="G235" s="23">
        <v>1968.82825</v>
      </c>
      <c r="H235" s="82" t="s">
        <v>65</v>
      </c>
    </row>
    <row r="236" spans="1:17" s="57" customFormat="1" ht="12.75" customHeight="1">
      <c r="A236" s="12"/>
      <c r="B236" s="58">
        <v>2014</v>
      </c>
      <c r="C236" s="23">
        <v>7397.1459999999997</v>
      </c>
      <c r="D236" s="82" t="s">
        <v>65</v>
      </c>
      <c r="E236" s="23"/>
      <c r="F236" s="85">
        <f t="shared" si="33"/>
        <v>5.2319871755225789E-2</v>
      </c>
      <c r="G236" s="23">
        <v>2103.2147500000001</v>
      </c>
      <c r="H236" s="82" t="s">
        <v>65</v>
      </c>
    </row>
    <row r="237" spans="1:17" s="57" customFormat="1" ht="12.75" customHeight="1">
      <c r="A237" s="12"/>
      <c r="B237" s="58">
        <v>2015</v>
      </c>
      <c r="C237" s="23">
        <v>7876.4930000000004</v>
      </c>
      <c r="D237" s="82" t="s">
        <v>65</v>
      </c>
      <c r="E237" s="23"/>
      <c r="F237" s="85">
        <f t="shared" si="33"/>
        <v>6.4801614027896859E-2</v>
      </c>
      <c r="G237" s="23">
        <v>2263.66975</v>
      </c>
      <c r="H237" s="82" t="s">
        <v>65</v>
      </c>
    </row>
    <row r="238" spans="1:17" s="57" customFormat="1" ht="12.75" customHeight="1">
      <c r="A238" s="12"/>
      <c r="B238" s="58">
        <v>2016</v>
      </c>
      <c r="C238" s="23">
        <v>8409.9475000000002</v>
      </c>
      <c r="D238" s="82" t="s">
        <v>65</v>
      </c>
      <c r="E238" s="23"/>
      <c r="F238" s="85">
        <f t="shared" si="33"/>
        <v>6.7727413710644946E-2</v>
      </c>
      <c r="G238" s="23">
        <v>2445.1490000000003</v>
      </c>
      <c r="H238" s="82" t="s">
        <v>65</v>
      </c>
    </row>
    <row r="239" spans="1:17" s="57" customFormat="1" ht="12.75" customHeight="1">
      <c r="A239" s="12"/>
      <c r="B239" s="58">
        <v>2017</v>
      </c>
      <c r="C239" s="23">
        <v>8945.6594999999998</v>
      </c>
      <c r="D239" s="82" t="s">
        <v>65</v>
      </c>
      <c r="E239" s="23"/>
      <c r="F239" s="85">
        <f t="shared" si="33"/>
        <v>6.3699803120055076E-2</v>
      </c>
      <c r="G239" s="23">
        <v>2521.0149999999999</v>
      </c>
      <c r="H239" s="82" t="s">
        <v>65</v>
      </c>
    </row>
    <row r="240" spans="1:17" s="57" customFormat="1" ht="12.75" customHeight="1">
      <c r="A240" s="12"/>
      <c r="B240" s="58">
        <v>2018</v>
      </c>
      <c r="C240" s="23">
        <v>9414.29025</v>
      </c>
      <c r="D240" s="82" t="s">
        <v>65</v>
      </c>
      <c r="E240" s="23"/>
      <c r="F240" s="85">
        <f t="shared" si="33"/>
        <v>5.2386383586363827E-2</v>
      </c>
      <c r="G240" s="23">
        <v>2511.33025</v>
      </c>
      <c r="H240" s="82" t="s">
        <v>65</v>
      </c>
    </row>
    <row r="241" spans="1:17" s="57" customFormat="1" ht="12.75" customHeight="1">
      <c r="A241" s="12"/>
      <c r="B241" s="58">
        <v>2019</v>
      </c>
      <c r="C241" s="23">
        <v>9872.2587500000009</v>
      </c>
      <c r="D241" s="82" t="s">
        <v>65</v>
      </c>
      <c r="E241" s="23"/>
      <c r="F241" s="85">
        <f t="shared" si="33"/>
        <v>4.8646099476272298E-2</v>
      </c>
      <c r="G241" s="23">
        <v>2510.5039999999999</v>
      </c>
      <c r="H241" s="82" t="s">
        <v>65</v>
      </c>
    </row>
    <row r="242" spans="1:17" s="57" customFormat="1" ht="12.75" customHeight="1">
      <c r="A242" s="12"/>
      <c r="B242" s="58">
        <v>2020</v>
      </c>
      <c r="C242" s="23">
        <v>10342.654999999999</v>
      </c>
      <c r="D242" s="82" t="s">
        <v>65</v>
      </c>
      <c r="E242" s="23"/>
      <c r="F242" s="85">
        <f t="shared" si="33"/>
        <v>4.7648290215245526E-2</v>
      </c>
      <c r="G242" s="23">
        <v>2539.4322499999998</v>
      </c>
      <c r="H242" s="82" t="s">
        <v>65</v>
      </c>
    </row>
    <row r="243" spans="1:17" s="57" customFormat="1" ht="12.75" customHeight="1">
      <c r="A243" s="12"/>
      <c r="B243" s="58">
        <v>2021</v>
      </c>
      <c r="C243" s="23">
        <v>10826.977500000001</v>
      </c>
      <c r="D243" s="82" t="s">
        <v>65</v>
      </c>
      <c r="E243" s="23"/>
      <c r="F243" s="85">
        <f t="shared" si="33"/>
        <v>4.6827676259142637E-2</v>
      </c>
      <c r="G243" s="23">
        <v>2587.0992500000002</v>
      </c>
      <c r="H243" s="82" t="s">
        <v>65</v>
      </c>
    </row>
    <row r="244" spans="1:17" s="57" customFormat="1" ht="18" customHeight="1">
      <c r="A244" s="62"/>
      <c r="B244" s="123" t="s">
        <v>23</v>
      </c>
      <c r="C244" s="27" t="s">
        <v>227</v>
      </c>
      <c r="D244" s="27" t="s">
        <v>228</v>
      </c>
      <c r="E244" s="334"/>
      <c r="F244" s="335"/>
      <c r="G244" s="27" t="s">
        <v>692</v>
      </c>
      <c r="H244" s="27" t="s">
        <v>693</v>
      </c>
    </row>
    <row r="245" spans="1:17" s="41" customFormat="1" ht="18" customHeight="1">
      <c r="B245" s="39" t="str">
        <f>C244</f>
        <v>[P5a]</v>
      </c>
      <c r="C245" s="233" t="s">
        <v>694</v>
      </c>
      <c r="D245" s="233"/>
      <c r="E245" s="233"/>
      <c r="F245" s="233"/>
      <c r="G245" s="233"/>
      <c r="H245" s="233"/>
      <c r="I245" s="64"/>
      <c r="J245" s="64"/>
      <c r="K245" s="64"/>
      <c r="L245" s="64"/>
      <c r="M245" s="64"/>
      <c r="N245" s="64"/>
      <c r="O245" s="64"/>
      <c r="P245" s="64"/>
      <c r="Q245" s="64"/>
    </row>
    <row r="246" spans="1:17" s="41" customFormat="1" ht="18" customHeight="1">
      <c r="A246" s="39"/>
      <c r="B246" s="39" t="str">
        <f>D244</f>
        <v>[P5b]</v>
      </c>
      <c r="C246" s="88" t="s">
        <v>695</v>
      </c>
      <c r="D246" s="88"/>
      <c r="E246" s="88"/>
      <c r="F246" s="88"/>
      <c r="G246" s="88"/>
      <c r="H246" s="88"/>
      <c r="I246" s="88"/>
      <c r="J246" s="88"/>
      <c r="K246" s="88"/>
      <c r="L246" s="88"/>
      <c r="M246" s="88"/>
      <c r="N246" s="88"/>
      <c r="O246" s="88"/>
      <c r="P246" s="88"/>
      <c r="Q246" s="88"/>
    </row>
    <row r="247" spans="1:17" s="41" customFormat="1" ht="18" customHeight="1">
      <c r="A247" s="39"/>
      <c r="B247" s="39" t="str">
        <f>G244</f>
        <v>[P5c]</v>
      </c>
      <c r="C247" s="88" t="s">
        <v>696</v>
      </c>
      <c r="D247" s="88"/>
      <c r="E247" s="88"/>
      <c r="F247" s="88"/>
      <c r="G247" s="88"/>
      <c r="H247" s="88"/>
      <c r="I247" s="88"/>
      <c r="J247" s="88"/>
      <c r="K247" s="88"/>
      <c r="L247" s="88"/>
      <c r="M247" s="88"/>
      <c r="N247" s="88"/>
      <c r="O247" s="88"/>
      <c r="P247" s="88"/>
      <c r="Q247" s="88"/>
    </row>
    <row r="248" spans="1:17" s="41" customFormat="1" ht="24.75" customHeight="1">
      <c r="A248" s="39"/>
      <c r="B248" s="39" t="str">
        <f>H244</f>
        <v>[P5d]</v>
      </c>
      <c r="C248" s="270" t="s">
        <v>697</v>
      </c>
      <c r="D248" s="270"/>
      <c r="E248" s="270"/>
      <c r="F248" s="270"/>
      <c r="G248" s="270"/>
      <c r="H248" s="270"/>
      <c r="I248" s="270"/>
      <c r="J248" s="270"/>
      <c r="K248" s="270"/>
      <c r="L248" s="270"/>
      <c r="M248" s="270"/>
      <c r="N248" s="270"/>
      <c r="O248" s="270"/>
      <c r="P248" s="270"/>
      <c r="Q248" s="270"/>
    </row>
    <row r="249" spans="1:17" s="38" customFormat="1" ht="19.5" customHeight="1">
      <c r="A249" s="43" t="s">
        <v>110</v>
      </c>
      <c r="B249" s="43"/>
      <c r="C249" s="43"/>
      <c r="D249" s="43"/>
      <c r="E249" s="43"/>
      <c r="F249" s="43"/>
      <c r="G249" s="43"/>
      <c r="H249" s="43"/>
      <c r="I249" s="43"/>
      <c r="J249" s="43"/>
      <c r="K249" s="43"/>
      <c r="L249" s="43"/>
      <c r="M249" s="43"/>
      <c r="N249" s="43"/>
      <c r="O249" s="43"/>
      <c r="P249" s="43"/>
      <c r="Q249" s="148"/>
    </row>
    <row r="250" spans="1:17" s="89" customFormat="1" ht="24.75" customHeight="1">
      <c r="A250" s="39" t="s">
        <v>111</v>
      </c>
      <c r="B250" s="88" t="s">
        <v>376</v>
      </c>
      <c r="C250" s="88"/>
      <c r="D250" s="88"/>
      <c r="E250" s="88"/>
      <c r="F250" s="88"/>
      <c r="G250" s="88"/>
      <c r="H250" s="88"/>
      <c r="I250" s="88"/>
      <c r="J250" s="88"/>
      <c r="K250" s="88"/>
      <c r="L250" s="88"/>
      <c r="M250" s="88"/>
      <c r="N250" s="88"/>
      <c r="O250" s="88"/>
      <c r="P250" s="88"/>
      <c r="Q250" s="88"/>
    </row>
    <row r="251" spans="1:17" s="89" customFormat="1" ht="24.75" customHeight="1">
      <c r="A251" s="39" t="s">
        <v>113</v>
      </c>
      <c r="B251" s="88" t="s">
        <v>698</v>
      </c>
      <c r="C251" s="88"/>
      <c r="D251" s="88"/>
      <c r="E251" s="88"/>
      <c r="F251" s="88"/>
      <c r="G251" s="88"/>
      <c r="H251" s="88"/>
      <c r="I251" s="88"/>
      <c r="J251" s="88"/>
      <c r="K251" s="88"/>
      <c r="L251" s="88"/>
      <c r="M251" s="88"/>
      <c r="N251" s="88"/>
      <c r="O251" s="88"/>
      <c r="P251" s="88"/>
      <c r="Q251" s="88"/>
    </row>
    <row r="252" spans="1:17" s="89" customFormat="1" ht="24.75" customHeight="1">
      <c r="A252" s="39" t="s">
        <v>115</v>
      </c>
      <c r="B252" s="88" t="s">
        <v>699</v>
      </c>
      <c r="C252" s="88"/>
      <c r="D252" s="88"/>
      <c r="E252" s="88"/>
      <c r="F252" s="88"/>
      <c r="G252" s="88"/>
      <c r="H252" s="88"/>
      <c r="I252" s="88"/>
      <c r="J252" s="88"/>
      <c r="K252" s="88"/>
      <c r="L252" s="88"/>
      <c r="M252" s="88"/>
      <c r="N252" s="88"/>
      <c r="O252" s="88"/>
      <c r="P252" s="88"/>
      <c r="Q252" s="88"/>
    </row>
    <row r="253" spans="1:17" s="89" customFormat="1" ht="24.75" customHeight="1">
      <c r="A253" s="39" t="s">
        <v>117</v>
      </c>
      <c r="B253" s="88" t="s">
        <v>700</v>
      </c>
      <c r="C253" s="88"/>
      <c r="D253" s="88"/>
      <c r="E253" s="88"/>
      <c r="F253" s="88"/>
      <c r="G253" s="88"/>
      <c r="H253" s="88"/>
      <c r="I253" s="88"/>
      <c r="J253" s="88"/>
      <c r="K253" s="88"/>
      <c r="L253" s="88"/>
      <c r="M253" s="88"/>
      <c r="N253" s="88"/>
      <c r="O253" s="88"/>
      <c r="P253" s="88"/>
      <c r="Q253" s="88"/>
    </row>
    <row r="254" spans="1:17" s="89" customFormat="1" ht="24.75" customHeight="1">
      <c r="A254" s="39" t="s">
        <v>119</v>
      </c>
      <c r="B254" s="88" t="s">
        <v>701</v>
      </c>
      <c r="C254" s="88"/>
      <c r="D254" s="88"/>
      <c r="E254" s="88"/>
      <c r="F254" s="88"/>
      <c r="G254" s="88"/>
      <c r="H254" s="88"/>
      <c r="I254" s="88"/>
      <c r="J254" s="88"/>
      <c r="K254" s="88"/>
      <c r="L254" s="88"/>
      <c r="M254" s="88"/>
      <c r="N254" s="88"/>
      <c r="O254" s="88"/>
      <c r="P254" s="88"/>
      <c r="Q254" s="88"/>
    </row>
    <row r="255" spans="1:17" s="89" customFormat="1" ht="24.75" customHeight="1">
      <c r="A255" s="39" t="s">
        <v>121</v>
      </c>
      <c r="B255" s="88" t="s">
        <v>116</v>
      </c>
      <c r="C255" s="88"/>
      <c r="D255" s="88"/>
      <c r="E255" s="88"/>
      <c r="F255" s="88"/>
      <c r="G255" s="88"/>
      <c r="H255" s="88"/>
      <c r="I255" s="88"/>
      <c r="J255" s="88"/>
      <c r="K255" s="88"/>
      <c r="L255" s="88"/>
      <c r="M255" s="88"/>
      <c r="N255" s="88"/>
      <c r="O255" s="88"/>
      <c r="P255" s="88"/>
      <c r="Q255" s="88"/>
    </row>
    <row r="256" spans="1:17" s="167" customFormat="1" ht="24.75" customHeight="1">
      <c r="A256" s="39" t="s">
        <v>123</v>
      </c>
      <c r="B256" s="336" t="s">
        <v>702</v>
      </c>
      <c r="C256" s="336"/>
      <c r="D256" s="336"/>
      <c r="E256" s="336"/>
      <c r="F256" s="336"/>
      <c r="G256" s="336"/>
      <c r="H256" s="336"/>
      <c r="I256" s="336"/>
      <c r="J256" s="336"/>
      <c r="K256" s="336"/>
      <c r="L256" s="336"/>
      <c r="M256" s="336"/>
      <c r="N256" s="336"/>
      <c r="O256" s="336"/>
      <c r="P256" s="336"/>
      <c r="Q256" s="336"/>
    </row>
    <row r="257" spans="1:17" s="89" customFormat="1" ht="24.75" customHeight="1">
      <c r="A257" s="39" t="s">
        <v>125</v>
      </c>
      <c r="B257" s="90" t="s">
        <v>703</v>
      </c>
      <c r="C257" s="88"/>
      <c r="D257" s="88"/>
      <c r="E257" s="88"/>
      <c r="F257" s="88"/>
      <c r="G257" s="88"/>
      <c r="H257" s="88"/>
      <c r="I257" s="88"/>
      <c r="J257" s="88"/>
      <c r="K257" s="88"/>
      <c r="L257" s="88"/>
      <c r="M257" s="88"/>
      <c r="N257" s="88"/>
      <c r="O257" s="88"/>
      <c r="P257" s="88"/>
      <c r="Q257" s="88"/>
    </row>
    <row r="258" spans="1:17" s="89" customFormat="1" ht="24.75" customHeight="1">
      <c r="A258" s="39" t="s">
        <v>127</v>
      </c>
      <c r="B258" s="88" t="s">
        <v>704</v>
      </c>
      <c r="C258" s="88"/>
      <c r="D258" s="88"/>
      <c r="E258" s="88"/>
      <c r="F258" s="88"/>
      <c r="G258" s="88"/>
      <c r="H258" s="88"/>
      <c r="I258" s="88"/>
      <c r="J258" s="88"/>
      <c r="K258" s="88"/>
      <c r="L258" s="88"/>
      <c r="M258" s="88"/>
      <c r="N258" s="88"/>
      <c r="O258" s="88"/>
      <c r="P258" s="88"/>
      <c r="Q258" s="88"/>
    </row>
    <row r="259" spans="1:17" s="89" customFormat="1" ht="24.75" customHeight="1">
      <c r="A259" s="39" t="s">
        <v>129</v>
      </c>
      <c r="B259" s="88" t="s">
        <v>705</v>
      </c>
      <c r="C259" s="88"/>
      <c r="D259" s="88"/>
      <c r="E259" s="88"/>
      <c r="F259" s="88"/>
      <c r="G259" s="88"/>
      <c r="H259" s="88"/>
      <c r="I259" s="88"/>
      <c r="J259" s="88"/>
      <c r="K259" s="88"/>
      <c r="L259" s="88"/>
      <c r="M259" s="88"/>
      <c r="N259" s="88"/>
      <c r="O259" s="88"/>
      <c r="P259" s="88"/>
      <c r="Q259" s="88"/>
    </row>
    <row r="260" spans="1:17" s="89" customFormat="1" ht="24.75" customHeight="1">
      <c r="A260" s="39" t="s">
        <v>131</v>
      </c>
      <c r="B260" s="88" t="s">
        <v>706</v>
      </c>
      <c r="C260" s="88"/>
      <c r="D260" s="88"/>
      <c r="E260" s="88"/>
      <c r="F260" s="88"/>
      <c r="G260" s="88"/>
      <c r="H260" s="88"/>
      <c r="I260" s="88"/>
      <c r="J260" s="88"/>
      <c r="K260" s="88"/>
      <c r="L260" s="88"/>
      <c r="M260" s="88"/>
      <c r="N260" s="88"/>
      <c r="O260" s="88"/>
      <c r="P260" s="88"/>
      <c r="Q260" s="88"/>
    </row>
    <row r="261" spans="1:17" s="89" customFormat="1" ht="24.75" customHeight="1">
      <c r="A261" s="39" t="s">
        <v>133</v>
      </c>
      <c r="B261" s="88" t="s">
        <v>707</v>
      </c>
      <c r="C261" s="88"/>
      <c r="D261" s="88"/>
      <c r="E261" s="88"/>
      <c r="F261" s="88"/>
      <c r="G261" s="88"/>
      <c r="H261" s="88"/>
      <c r="I261" s="88"/>
      <c r="J261" s="88"/>
      <c r="K261" s="88"/>
      <c r="L261" s="88"/>
      <c r="M261" s="88"/>
      <c r="N261" s="88"/>
      <c r="O261" s="88"/>
      <c r="P261" s="88"/>
      <c r="Q261" s="88"/>
    </row>
    <row r="262" spans="1:17" s="89" customFormat="1" ht="24.75" customHeight="1">
      <c r="A262" s="39" t="s">
        <v>135</v>
      </c>
      <c r="B262" s="88" t="s">
        <v>708</v>
      </c>
      <c r="C262" s="88"/>
      <c r="D262" s="88"/>
      <c r="E262" s="88"/>
      <c r="F262" s="88"/>
      <c r="G262" s="88"/>
      <c r="H262" s="88"/>
      <c r="I262" s="88"/>
      <c r="J262" s="88"/>
      <c r="K262" s="88"/>
      <c r="L262" s="88"/>
      <c r="M262" s="88"/>
      <c r="N262" s="88"/>
      <c r="O262" s="88"/>
      <c r="P262" s="88"/>
      <c r="Q262" s="88"/>
    </row>
    <row r="263" spans="1:17" s="89" customFormat="1" ht="24.75" customHeight="1">
      <c r="A263" s="39" t="s">
        <v>137</v>
      </c>
      <c r="B263" s="88" t="s">
        <v>709</v>
      </c>
      <c r="C263" s="88"/>
      <c r="D263" s="88"/>
      <c r="E263" s="88"/>
      <c r="F263" s="88"/>
      <c r="G263" s="88"/>
      <c r="H263" s="88"/>
      <c r="I263" s="88"/>
      <c r="J263" s="88"/>
      <c r="K263" s="88"/>
      <c r="L263" s="88"/>
      <c r="M263" s="88"/>
      <c r="N263" s="88"/>
      <c r="O263" s="88"/>
      <c r="P263" s="88"/>
      <c r="Q263" s="88"/>
    </row>
    <row r="264" spans="1:17" s="89" customFormat="1" ht="24.75" customHeight="1">
      <c r="A264" s="39" t="s">
        <v>710</v>
      </c>
      <c r="B264" s="88" t="s">
        <v>711</v>
      </c>
      <c r="C264" s="88"/>
      <c r="D264" s="88"/>
      <c r="E264" s="88"/>
      <c r="F264" s="88"/>
      <c r="G264" s="88"/>
      <c r="H264" s="88"/>
      <c r="I264" s="88"/>
      <c r="J264" s="88"/>
      <c r="K264" s="88"/>
      <c r="L264" s="88"/>
      <c r="M264" s="88"/>
      <c r="N264" s="88"/>
      <c r="O264" s="88"/>
      <c r="P264" s="88"/>
      <c r="Q264" s="88"/>
    </row>
    <row r="265" spans="1:17" s="89" customFormat="1" ht="24.75" customHeight="1">
      <c r="A265" s="39" t="s">
        <v>712</v>
      </c>
      <c r="B265" s="88" t="s">
        <v>713</v>
      </c>
      <c r="C265" s="88"/>
      <c r="D265" s="88"/>
      <c r="E265" s="88"/>
      <c r="F265" s="88"/>
      <c r="G265" s="88"/>
      <c r="H265" s="88"/>
      <c r="I265" s="88"/>
      <c r="J265" s="88"/>
      <c r="K265" s="88"/>
      <c r="L265" s="88"/>
      <c r="M265" s="88"/>
      <c r="N265" s="88"/>
      <c r="O265" s="88"/>
      <c r="P265" s="88"/>
      <c r="Q265" s="88"/>
    </row>
    <row r="266" spans="1:17" s="89" customFormat="1" ht="24.75" customHeight="1">
      <c r="A266" s="39" t="s">
        <v>714</v>
      </c>
      <c r="B266" s="88" t="s">
        <v>715</v>
      </c>
      <c r="C266" s="88"/>
      <c r="D266" s="88"/>
      <c r="E266" s="88"/>
      <c r="F266" s="88"/>
      <c r="G266" s="88"/>
      <c r="H266" s="88"/>
      <c r="I266" s="88"/>
      <c r="J266" s="88"/>
      <c r="K266" s="88"/>
      <c r="L266" s="88"/>
      <c r="M266" s="88"/>
      <c r="N266" s="88"/>
      <c r="O266" s="88"/>
      <c r="P266" s="88"/>
      <c r="Q266" s="88"/>
    </row>
    <row r="267" spans="1:17" s="89" customFormat="1" ht="24.75" customHeight="1">
      <c r="A267" s="39" t="s">
        <v>716</v>
      </c>
      <c r="B267" s="88" t="s">
        <v>717</v>
      </c>
      <c r="C267" s="88"/>
      <c r="D267" s="88"/>
      <c r="E267" s="88"/>
      <c r="F267" s="88"/>
      <c r="G267" s="88"/>
      <c r="H267" s="88"/>
      <c r="I267" s="88"/>
      <c r="J267" s="88"/>
      <c r="K267" s="88"/>
      <c r="L267" s="88"/>
      <c r="M267" s="88"/>
      <c r="N267" s="88"/>
      <c r="O267" s="88"/>
      <c r="P267" s="88"/>
      <c r="Q267" s="88"/>
    </row>
    <row r="268" spans="1:17" s="89" customFormat="1" ht="24.75" customHeight="1">
      <c r="A268" s="39" t="s">
        <v>718</v>
      </c>
      <c r="B268" s="88" t="s">
        <v>719</v>
      </c>
      <c r="C268" s="88"/>
      <c r="D268" s="88"/>
      <c r="E268" s="88"/>
      <c r="F268" s="88"/>
      <c r="G268" s="88"/>
      <c r="H268" s="88"/>
      <c r="I268" s="88"/>
      <c r="J268" s="88"/>
      <c r="K268" s="88"/>
      <c r="L268" s="88"/>
      <c r="M268" s="88"/>
      <c r="N268" s="88"/>
      <c r="O268" s="88"/>
      <c r="P268" s="88"/>
      <c r="Q268" s="88"/>
    </row>
    <row r="269" spans="1:17" s="89" customFormat="1" ht="18" customHeight="1">
      <c r="A269" s="91" t="s">
        <v>720</v>
      </c>
      <c r="B269" s="91"/>
      <c r="C269" s="91"/>
      <c r="D269" s="91"/>
      <c r="E269" s="91"/>
      <c r="F269" s="91"/>
      <c r="G269" s="91"/>
      <c r="H269" s="91"/>
      <c r="I269" s="91"/>
      <c r="J269" s="91"/>
      <c r="K269" s="91"/>
      <c r="L269" s="91"/>
      <c r="M269" s="91"/>
      <c r="N269" s="91"/>
      <c r="O269" s="91"/>
      <c r="P269" s="91"/>
      <c r="Q269" s="91"/>
    </row>
    <row r="271" spans="1:17" s="167" customFormat="1"/>
    <row r="272" spans="1:17" s="167" customFormat="1"/>
  </sheetData>
  <mergeCells count="131">
    <mergeCell ref="B268:Q268"/>
    <mergeCell ref="A269:Q269"/>
    <mergeCell ref="B262:Q262"/>
    <mergeCell ref="B263:Q263"/>
    <mergeCell ref="B264:Q264"/>
    <mergeCell ref="B265:Q265"/>
    <mergeCell ref="B266:Q266"/>
    <mergeCell ref="B267:Q267"/>
    <mergeCell ref="B256:Q256"/>
    <mergeCell ref="B257:Q257"/>
    <mergeCell ref="B258:Q258"/>
    <mergeCell ref="B259:Q259"/>
    <mergeCell ref="B260:Q260"/>
    <mergeCell ref="B261:Q261"/>
    <mergeCell ref="B250:Q250"/>
    <mergeCell ref="B251:Q251"/>
    <mergeCell ref="B252:Q252"/>
    <mergeCell ref="B253:Q253"/>
    <mergeCell ref="B254:Q254"/>
    <mergeCell ref="B255:Q255"/>
    <mergeCell ref="G231:H231"/>
    <mergeCell ref="C245:H245"/>
    <mergeCell ref="C246:Q246"/>
    <mergeCell ref="C247:Q247"/>
    <mergeCell ref="C248:Q248"/>
    <mergeCell ref="A249:P249"/>
    <mergeCell ref="C226:Q226"/>
    <mergeCell ref="C227:Q227"/>
    <mergeCell ref="C228:Q228"/>
    <mergeCell ref="C229:Q229"/>
    <mergeCell ref="B230:Q230"/>
    <mergeCell ref="A231:A243"/>
    <mergeCell ref="B231:B232"/>
    <mergeCell ref="C231:D231"/>
    <mergeCell ref="E231:E232"/>
    <mergeCell ref="F231:F232"/>
    <mergeCell ref="G203:I203"/>
    <mergeCell ref="J203:J204"/>
    <mergeCell ref="C222:Q222"/>
    <mergeCell ref="C223:Q223"/>
    <mergeCell ref="C224:Q224"/>
    <mergeCell ref="C225:Q225"/>
    <mergeCell ref="A203:A217"/>
    <mergeCell ref="B203:B204"/>
    <mergeCell ref="C203:C204"/>
    <mergeCell ref="D203:D204"/>
    <mergeCell ref="E203:E204"/>
    <mergeCell ref="F203:F204"/>
    <mergeCell ref="C197:Q197"/>
    <mergeCell ref="C198:Q198"/>
    <mergeCell ref="C199:Q199"/>
    <mergeCell ref="C200:Q200"/>
    <mergeCell ref="C201:Q201"/>
    <mergeCell ref="B202:I202"/>
    <mergeCell ref="H168:H169"/>
    <mergeCell ref="I168:I169"/>
    <mergeCell ref="J168:J169"/>
    <mergeCell ref="C194:D194"/>
    <mergeCell ref="C195:Q195"/>
    <mergeCell ref="C196:Q196"/>
    <mergeCell ref="A168:A182"/>
    <mergeCell ref="B168:B169"/>
    <mergeCell ref="C168:D168"/>
    <mergeCell ref="E168:E169"/>
    <mergeCell ref="F168:F169"/>
    <mergeCell ref="G168:G169"/>
    <mergeCell ref="C162:Q162"/>
    <mergeCell ref="C163:Q163"/>
    <mergeCell ref="C164:Q164"/>
    <mergeCell ref="C165:Q165"/>
    <mergeCell ref="C166:Q166"/>
    <mergeCell ref="B167:I167"/>
    <mergeCell ref="E138:F138"/>
    <mergeCell ref="C139:Q139"/>
    <mergeCell ref="C140:Q140"/>
    <mergeCell ref="C141:Q141"/>
    <mergeCell ref="B142:I142"/>
    <mergeCell ref="A143:A157"/>
    <mergeCell ref="B143:B144"/>
    <mergeCell ref="C143:E143"/>
    <mergeCell ref="F143:G143"/>
    <mergeCell ref="A120:P120"/>
    <mergeCell ref="B121:Q121"/>
    <mergeCell ref="A122:A134"/>
    <mergeCell ref="B122:B123"/>
    <mergeCell ref="C122:D122"/>
    <mergeCell ref="E122:F122"/>
    <mergeCell ref="B114:Q114"/>
    <mergeCell ref="B115:Q115"/>
    <mergeCell ref="B116:Q116"/>
    <mergeCell ref="B117:Q117"/>
    <mergeCell ref="B118:Q118"/>
    <mergeCell ref="B119:Q119"/>
    <mergeCell ref="B108:Q108"/>
    <mergeCell ref="B109:Q109"/>
    <mergeCell ref="B110:Q110"/>
    <mergeCell ref="B111:Q111"/>
    <mergeCell ref="B112:Q112"/>
    <mergeCell ref="B113:Q113"/>
    <mergeCell ref="B101:H101"/>
    <mergeCell ref="B102:Q102"/>
    <mergeCell ref="B104:Q104"/>
    <mergeCell ref="B105:Q105"/>
    <mergeCell ref="B106:Q106"/>
    <mergeCell ref="B107:Q107"/>
    <mergeCell ref="Q4:Q6"/>
    <mergeCell ref="C5:C6"/>
    <mergeCell ref="D5:D6"/>
    <mergeCell ref="E5:E6"/>
    <mergeCell ref="G5:G6"/>
    <mergeCell ref="H5:H6"/>
    <mergeCell ref="I5:I6"/>
    <mergeCell ref="J5:J6"/>
    <mergeCell ref="N5:N6"/>
    <mergeCell ref="O5:O6"/>
    <mergeCell ref="G4:H4"/>
    <mergeCell ref="I4:J4"/>
    <mergeCell ref="K4:K6"/>
    <mergeCell ref="L4:L6"/>
    <mergeCell ref="M4:M6"/>
    <mergeCell ref="P4:P6"/>
    <mergeCell ref="A1:Q1"/>
    <mergeCell ref="A2:Q2"/>
    <mergeCell ref="A3:A6"/>
    <mergeCell ref="B3:E3"/>
    <mergeCell ref="F3:M3"/>
    <mergeCell ref="N3:O4"/>
    <mergeCell ref="P3:Q3"/>
    <mergeCell ref="B4:B6"/>
    <mergeCell ref="C4:E4"/>
    <mergeCell ref="F4:F6"/>
  </mergeCells>
  <printOptions horizontalCentered="1"/>
  <pageMargins left="0.7" right="0.7" top="0.75" bottom="0.75" header="0.3" footer="0.3"/>
  <pageSetup scale="63" fitToHeight="6" orientation="landscape" r:id="rId1"/>
  <rowBreaks count="5" manualBreakCount="5">
    <brk id="58" max="16" man="1"/>
    <brk id="102" max="16" man="1"/>
    <brk id="119" max="16" man="1"/>
    <brk id="166" max="16" man="1"/>
    <brk id="221" max="16"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view="pageBreakPreview" topLeftCell="A26" zoomScaleNormal="100" zoomScaleSheetLayoutView="100" workbookViewId="0">
      <selection activeCell="L9" sqref="L9"/>
    </sheetView>
  </sheetViews>
  <sheetFormatPr defaultRowHeight="15"/>
  <cols>
    <col min="1" max="1" width="6.140625" style="93" customWidth="1"/>
    <col min="2" max="2" width="4.5703125" customWidth="1"/>
    <col min="3" max="10" width="6.7109375" customWidth="1"/>
    <col min="11" max="14" width="5.7109375" customWidth="1"/>
    <col min="15" max="15" width="6.7109375" customWidth="1"/>
  </cols>
  <sheetData>
    <row r="1" spans="1:15" ht="24.75" customHeight="1" thickBot="1">
      <c r="A1" s="94" t="s">
        <v>721</v>
      </c>
      <c r="B1" s="94"/>
      <c r="C1" s="94"/>
      <c r="D1" s="94"/>
      <c r="E1" s="94"/>
      <c r="F1" s="94"/>
      <c r="G1" s="94"/>
      <c r="H1" s="94"/>
      <c r="I1" s="94"/>
      <c r="J1" s="94"/>
      <c r="K1" s="94"/>
      <c r="L1" s="94"/>
      <c r="M1" s="94"/>
      <c r="N1" s="94"/>
      <c r="O1" s="94"/>
    </row>
    <row r="2" spans="1:15" ht="24.75" customHeight="1" thickTop="1">
      <c r="A2" s="2" t="s">
        <v>722</v>
      </c>
      <c r="B2" s="4"/>
      <c r="C2" s="3" t="s">
        <v>723</v>
      </c>
      <c r="D2" s="4"/>
      <c r="E2" s="3" t="s">
        <v>724</v>
      </c>
      <c r="F2" s="4"/>
      <c r="G2" s="3" t="s">
        <v>725</v>
      </c>
      <c r="H2" s="4"/>
      <c r="I2" s="3" t="s">
        <v>726</v>
      </c>
      <c r="J2" s="4"/>
      <c r="K2" s="5" t="s">
        <v>727</v>
      </c>
      <c r="L2" s="6"/>
      <c r="M2" s="6"/>
      <c r="N2" s="6"/>
      <c r="O2" s="3" t="s">
        <v>728</v>
      </c>
    </row>
    <row r="3" spans="1:15" ht="12.75" customHeight="1">
      <c r="A3" s="12"/>
      <c r="B3" s="13"/>
      <c r="C3" s="11"/>
      <c r="D3" s="13"/>
      <c r="E3" s="11" t="s">
        <v>729</v>
      </c>
      <c r="F3" s="13" t="s">
        <v>730</v>
      </c>
      <c r="G3" s="11" t="s">
        <v>729</v>
      </c>
      <c r="H3" s="13" t="s">
        <v>730</v>
      </c>
      <c r="I3" s="11" t="s">
        <v>729</v>
      </c>
      <c r="J3" s="13" t="s">
        <v>730</v>
      </c>
      <c r="K3" s="14" t="s">
        <v>20</v>
      </c>
      <c r="L3" s="14" t="s">
        <v>15</v>
      </c>
      <c r="M3" s="14" t="s">
        <v>731</v>
      </c>
      <c r="N3" s="15" t="s">
        <v>732</v>
      </c>
      <c r="O3" s="11"/>
    </row>
    <row r="4" spans="1:15" ht="11.25" customHeight="1">
      <c r="A4" s="12"/>
      <c r="B4" s="13"/>
      <c r="C4" s="9"/>
      <c r="D4" s="10"/>
      <c r="E4" s="9"/>
      <c r="F4" s="10"/>
      <c r="G4" s="9"/>
      <c r="H4" s="10"/>
      <c r="I4" s="9"/>
      <c r="J4" s="10"/>
      <c r="K4" s="47"/>
      <c r="L4" s="47"/>
      <c r="M4" s="47"/>
      <c r="N4" s="11"/>
      <c r="O4" s="11"/>
    </row>
    <row r="5" spans="1:15" ht="28.5" customHeight="1">
      <c r="A5" s="95"/>
      <c r="B5" s="10"/>
      <c r="C5" s="63" t="s">
        <v>733</v>
      </c>
      <c r="D5" s="63" t="s">
        <v>734</v>
      </c>
      <c r="E5" s="63" t="s">
        <v>733</v>
      </c>
      <c r="F5" s="63" t="s">
        <v>734</v>
      </c>
      <c r="G5" s="63" t="s">
        <v>733</v>
      </c>
      <c r="H5" s="63" t="s">
        <v>734</v>
      </c>
      <c r="I5" s="63" t="s">
        <v>733</v>
      </c>
      <c r="J5" s="63" t="s">
        <v>734</v>
      </c>
      <c r="K5" s="18"/>
      <c r="L5" s="18"/>
      <c r="M5" s="18"/>
      <c r="N5" s="9"/>
      <c r="O5" s="9"/>
    </row>
    <row r="6" spans="1:15" ht="16.5" customHeight="1">
      <c r="A6" s="62"/>
      <c r="B6" s="284"/>
      <c r="C6" s="9" t="s">
        <v>735</v>
      </c>
      <c r="D6" s="95"/>
      <c r="E6" s="95"/>
      <c r="F6" s="95"/>
      <c r="G6" s="95"/>
      <c r="H6" s="95"/>
      <c r="I6" s="95"/>
      <c r="J6" s="95"/>
      <c r="K6" s="95"/>
      <c r="L6" s="95"/>
      <c r="M6" s="95"/>
      <c r="N6" s="95"/>
      <c r="O6" s="95"/>
    </row>
    <row r="7" spans="1:15" ht="12.75" customHeight="1">
      <c r="A7" s="337" t="s">
        <v>736</v>
      </c>
      <c r="B7" s="338"/>
      <c r="C7" s="23">
        <f>'Table 1.1'!F6</f>
        <v>30.461759611673141</v>
      </c>
      <c r="D7" s="23">
        <f>'Table 1.1'!F17</f>
        <v>30.702768538329863</v>
      </c>
      <c r="E7" s="22">
        <f>'Table 1.1.1'!B7</f>
        <v>9.9049999999999994</v>
      </c>
      <c r="F7" s="22">
        <f>'Table 1.1.1'!B18</f>
        <v>8.1379999999999999</v>
      </c>
      <c r="G7" s="23">
        <f t="shared" ref="G7:H15" si="0">C7*100/E7</f>
        <v>307.53921869432753</v>
      </c>
      <c r="H7" s="23">
        <f t="shared" si="0"/>
        <v>377.27658562705659</v>
      </c>
      <c r="I7" s="23">
        <f>'Table 1.1'!H6</f>
        <v>8661</v>
      </c>
      <c r="J7" s="23">
        <f>'Table 1.1'!H17</f>
        <v>9574</v>
      </c>
      <c r="K7" s="85">
        <f>(H7/G7)^(1/11)-1</f>
        <v>1.8753306909704115E-2</v>
      </c>
      <c r="L7" s="85">
        <f>($J7/$I7)^(1/11)-1</f>
        <v>9.1526224739446604E-3</v>
      </c>
      <c r="M7" s="85">
        <f>K7-L7</f>
        <v>9.6006844357594545E-3</v>
      </c>
      <c r="N7" s="85">
        <f>(($J7-H7)/($I7-G7))^(1/11)-1</f>
        <v>8.7811805373521068E-3</v>
      </c>
      <c r="O7" s="85">
        <f>K7-N7</f>
        <v>9.9721263723520082E-3</v>
      </c>
    </row>
    <row r="8" spans="1:15" ht="12.75" customHeight="1">
      <c r="A8" s="337" t="s">
        <v>737</v>
      </c>
      <c r="B8" s="338"/>
      <c r="C8" s="23">
        <f>'Table 1.1'!F17</f>
        <v>30.702768538329863</v>
      </c>
      <c r="D8" s="23">
        <f>'Table 1.1'!F27</f>
        <v>84.931536020001815</v>
      </c>
      <c r="E8" s="22">
        <f>'Table 1.1.1'!B18</f>
        <v>8.1379999999999999</v>
      </c>
      <c r="F8" s="22">
        <f>'Table 1.1.1'!B28</f>
        <v>13.759</v>
      </c>
      <c r="G8" s="23">
        <f t="shared" si="0"/>
        <v>377.27658562705659</v>
      </c>
      <c r="H8" s="23">
        <f t="shared" si="0"/>
        <v>617.27986060034755</v>
      </c>
      <c r="I8" s="23">
        <f>'Table 1.1'!H17</f>
        <v>9574</v>
      </c>
      <c r="J8" s="23">
        <f>'Table 1.1'!H27</f>
        <v>14384</v>
      </c>
      <c r="K8" s="85">
        <f>(H8/G8)^(1/10)-1</f>
        <v>5.0466544578718242E-2</v>
      </c>
      <c r="L8" s="85">
        <f t="shared" ref="L8:L14" si="1">($J8/$I8)^(1/10)-1</f>
        <v>4.1546407104592786E-2</v>
      </c>
      <c r="M8" s="85">
        <f>K8-L8</f>
        <v>8.9201374741254558E-3</v>
      </c>
      <c r="N8" s="85">
        <f t="shared" ref="N8:N14" si="2">(($J8-H8)/($I8-G8))^(1/10)-1</f>
        <v>4.116542066877682E-2</v>
      </c>
      <c r="O8" s="85">
        <f t="shared" ref="O8:O32" si="3">K8-N8</f>
        <v>9.3011239099414222E-3</v>
      </c>
    </row>
    <row r="9" spans="1:15" ht="12.75" customHeight="1">
      <c r="A9" s="337" t="s">
        <v>738</v>
      </c>
      <c r="B9" s="338"/>
      <c r="C9" s="23">
        <f>'Table 1.1'!F27</f>
        <v>84.931536020001815</v>
      </c>
      <c r="D9" s="23">
        <f>'Table 1.1'!F37</f>
        <v>151.35538836025671</v>
      </c>
      <c r="E9" s="22">
        <f>'Table 1.1.1'!B28</f>
        <v>13.759</v>
      </c>
      <c r="F9" s="22">
        <f>'Table 1.1.1'!B38</f>
        <v>17.492999999999999</v>
      </c>
      <c r="G9" s="23">
        <f t="shared" si="0"/>
        <v>617.27986060034755</v>
      </c>
      <c r="H9" s="23">
        <f t="shared" si="0"/>
        <v>865.23402709802053</v>
      </c>
      <c r="I9" s="23">
        <f>'Table 1.1'!H27</f>
        <v>14384</v>
      </c>
      <c r="J9" s="23">
        <f>'Table 1.1'!H37</f>
        <v>17182</v>
      </c>
      <c r="K9" s="85">
        <f t="shared" ref="K9:K14" si="4">(H9/G9)^(1/10)-1</f>
        <v>3.4344354216611972E-2</v>
      </c>
      <c r="L9" s="85">
        <f t="shared" si="1"/>
        <v>1.7933492690295649E-2</v>
      </c>
      <c r="M9" s="85">
        <f t="shared" ref="M9:M15" si="5">K9-L9</f>
        <v>1.6410861526316323E-2</v>
      </c>
      <c r="N9" s="85">
        <f t="shared" si="2"/>
        <v>1.7139124975790176E-2</v>
      </c>
      <c r="O9" s="85">
        <f t="shared" si="3"/>
        <v>1.7205229240821795E-2</v>
      </c>
    </row>
    <row r="10" spans="1:15" ht="12.75" customHeight="1">
      <c r="A10" s="337" t="s">
        <v>739</v>
      </c>
      <c r="B10" s="338"/>
      <c r="C10" s="23">
        <f>'Table 1.1'!F37</f>
        <v>151.35538836025671</v>
      </c>
      <c r="D10" s="23">
        <f>'Table 1.1'!F47</f>
        <v>364.97813144537253</v>
      </c>
      <c r="E10" s="22">
        <f>'Table 1.1.1'!B38</f>
        <v>17.492999999999999</v>
      </c>
      <c r="F10" s="22">
        <f>'Table 1.1.1'!B48</f>
        <v>22.805</v>
      </c>
      <c r="G10" s="23">
        <f t="shared" si="0"/>
        <v>865.23402709802053</v>
      </c>
      <c r="H10" s="23">
        <f t="shared" si="0"/>
        <v>1600.4303067106885</v>
      </c>
      <c r="I10" s="23">
        <f>'Table 1.1'!H37</f>
        <v>17182</v>
      </c>
      <c r="J10" s="23">
        <f>'Table 1.1'!H47</f>
        <v>23003</v>
      </c>
      <c r="K10" s="85">
        <f t="shared" si="4"/>
        <v>6.3433452004682644E-2</v>
      </c>
      <c r="L10" s="85">
        <f t="shared" si="1"/>
        <v>2.9606027810043622E-2</v>
      </c>
      <c r="M10" s="85">
        <f t="shared" si="5"/>
        <v>3.3827424194639022E-2</v>
      </c>
      <c r="N10" s="85">
        <f t="shared" si="2"/>
        <v>2.75032010361691E-2</v>
      </c>
      <c r="O10" s="85">
        <f t="shared" si="3"/>
        <v>3.5930250968513544E-2</v>
      </c>
    </row>
    <row r="11" spans="1:15" ht="12.75" customHeight="1">
      <c r="A11" s="337" t="s">
        <v>740</v>
      </c>
      <c r="B11" s="338"/>
      <c r="C11" s="23">
        <f>'Table 1.1'!F47</f>
        <v>364.97813144537253</v>
      </c>
      <c r="D11" s="23">
        <f>'Table 1.1'!F57</f>
        <v>1123.2094710309759</v>
      </c>
      <c r="E11" s="22">
        <f>'Table 1.1.1'!B48</f>
        <v>22.805</v>
      </c>
      <c r="F11" s="22">
        <f>'Table 1.1.1'!B58</f>
        <v>44.424999999999997</v>
      </c>
      <c r="G11" s="23">
        <f t="shared" si="0"/>
        <v>1600.4303067106885</v>
      </c>
      <c r="H11" s="23">
        <f t="shared" si="0"/>
        <v>2528.3274530804188</v>
      </c>
      <c r="I11" s="23">
        <f>'Table 1.1'!H47</f>
        <v>23003</v>
      </c>
      <c r="J11" s="23">
        <f>'Table 1.1'!H57</f>
        <v>28295</v>
      </c>
      <c r="K11" s="85">
        <f t="shared" si="4"/>
        <v>4.679021737172917E-2</v>
      </c>
      <c r="L11" s="85">
        <f t="shared" si="1"/>
        <v>2.0921904304014527E-2</v>
      </c>
      <c r="M11" s="85">
        <f t="shared" si="5"/>
        <v>2.5868313067714643E-2</v>
      </c>
      <c r="N11" s="85">
        <f t="shared" si="2"/>
        <v>1.8730342946185585E-2</v>
      </c>
      <c r="O11" s="85">
        <f t="shared" si="3"/>
        <v>2.8059874425543585E-2</v>
      </c>
    </row>
    <row r="12" spans="1:15" ht="12.75" customHeight="1">
      <c r="A12" s="337" t="s">
        <v>741</v>
      </c>
      <c r="B12" s="338"/>
      <c r="C12" s="23">
        <f>'Table 1.1'!F57</f>
        <v>1123.2094710309759</v>
      </c>
      <c r="D12" s="23">
        <f>'Table 1.1'!F67</f>
        <v>2895.0160084099111</v>
      </c>
      <c r="E12" s="22">
        <f>'Table 1.1.1'!B58</f>
        <v>44.424999999999997</v>
      </c>
      <c r="F12" s="22">
        <f>'Table 1.1.1'!B68</f>
        <v>66.844999999999999</v>
      </c>
      <c r="G12" s="23">
        <f t="shared" si="0"/>
        <v>2528.3274530804188</v>
      </c>
      <c r="H12" s="23">
        <f t="shared" si="0"/>
        <v>4330.9387514547252</v>
      </c>
      <c r="I12" s="23">
        <f>'Table 1.1'!H57</f>
        <v>28295</v>
      </c>
      <c r="J12" s="23">
        <f>'Table 1.1'!H67</f>
        <v>35756</v>
      </c>
      <c r="K12" s="85">
        <f t="shared" si="4"/>
        <v>5.5297409758980454E-2</v>
      </c>
      <c r="L12" s="85">
        <f t="shared" si="1"/>
        <v>2.367930377918781E-2</v>
      </c>
      <c r="M12" s="85">
        <f t="shared" si="5"/>
        <v>3.1618105979792643E-2</v>
      </c>
      <c r="N12" s="85">
        <f t="shared" si="2"/>
        <v>2.0050749874769513E-2</v>
      </c>
      <c r="O12" s="85">
        <f t="shared" si="3"/>
        <v>3.524665988421094E-2</v>
      </c>
    </row>
    <row r="13" spans="1:15" ht="12.75" customHeight="1">
      <c r="A13" s="337" t="s">
        <v>742</v>
      </c>
      <c r="B13" s="338"/>
      <c r="C13" s="23">
        <f>'Table 1.1'!F67</f>
        <v>2895.0160084099111</v>
      </c>
      <c r="D13" s="23">
        <f>'Table 1.1'!F77</f>
        <v>4876.7271722887554</v>
      </c>
      <c r="E13" s="22">
        <f>'Table 1.1.1'!B68</f>
        <v>66.844999999999999</v>
      </c>
      <c r="F13" s="22">
        <f>'Table 1.1.1'!B78</f>
        <v>81.891000000000005</v>
      </c>
      <c r="G13" s="23">
        <f t="shared" si="0"/>
        <v>4330.9387514547252</v>
      </c>
      <c r="H13" s="23">
        <f t="shared" si="0"/>
        <v>5955.1442433097109</v>
      </c>
      <c r="I13" s="23">
        <f>'Table 1.1'!H67</f>
        <v>35756</v>
      </c>
      <c r="J13" s="23">
        <f>'Table 1.1'!H77</f>
        <v>44495</v>
      </c>
      <c r="K13" s="85">
        <f t="shared" si="4"/>
        <v>3.2359656234812517E-2</v>
      </c>
      <c r="L13" s="85">
        <f t="shared" si="1"/>
        <v>2.2106683794826942E-2</v>
      </c>
      <c r="M13" s="85">
        <f t="shared" si="5"/>
        <v>1.0252972439985575E-2</v>
      </c>
      <c r="N13" s="85">
        <f t="shared" si="2"/>
        <v>2.0618403655507267E-2</v>
      </c>
      <c r="O13" s="85">
        <f t="shared" si="3"/>
        <v>1.174125257930525E-2</v>
      </c>
    </row>
    <row r="14" spans="1:15" ht="12.75" customHeight="1">
      <c r="A14" s="337" t="s">
        <v>743</v>
      </c>
      <c r="B14" s="338"/>
      <c r="C14" s="23">
        <f>'Table 1.1'!F77</f>
        <v>4876.7271722887554</v>
      </c>
      <c r="D14" s="23">
        <f>'Table 1.1'!F87</f>
        <v>8393.0033314394914</v>
      </c>
      <c r="E14" s="22">
        <f>'Table 1.1.1'!B78</f>
        <v>81.891000000000005</v>
      </c>
      <c r="F14" s="22">
        <f>'Table 1.1.1'!B88</f>
        <v>101.211</v>
      </c>
      <c r="G14" s="23">
        <f t="shared" si="0"/>
        <v>5955.1442433097109</v>
      </c>
      <c r="H14" s="23">
        <f t="shared" si="0"/>
        <v>8292.5801853943667</v>
      </c>
      <c r="I14" s="23">
        <f>'Table 1.1'!H77</f>
        <v>44495</v>
      </c>
      <c r="J14" s="23">
        <f>'Table 1.1'!H87</f>
        <v>47710</v>
      </c>
      <c r="K14" s="85">
        <f t="shared" si="4"/>
        <v>3.3664829034992128E-2</v>
      </c>
      <c r="L14" s="85">
        <f t="shared" si="1"/>
        <v>7.0008115270192572E-3</v>
      </c>
      <c r="M14" s="85">
        <f t="shared" si="5"/>
        <v>2.666401750797287E-2</v>
      </c>
      <c r="N14" s="85">
        <f t="shared" si="2"/>
        <v>2.2540290707011579E-3</v>
      </c>
      <c r="O14" s="85">
        <f t="shared" si="3"/>
        <v>3.141079996429097E-2</v>
      </c>
    </row>
    <row r="15" spans="1:15" ht="12.75" customHeight="1">
      <c r="A15" s="337" t="s">
        <v>744</v>
      </c>
      <c r="B15" s="338"/>
      <c r="C15" s="23">
        <f>'Table 1.1'!F87</f>
        <v>8393.0033314394914</v>
      </c>
      <c r="D15" s="23">
        <f>'Table 1.1'!F97</f>
        <v>13468.909152561379</v>
      </c>
      <c r="E15" s="22">
        <f>'Table 1.1.1'!B88</f>
        <v>101.211</v>
      </c>
      <c r="F15" s="22">
        <f>'Table 1.1.1'!B98</f>
        <v>122.51329180213952</v>
      </c>
      <c r="G15" s="23">
        <f t="shared" si="0"/>
        <v>8292.5801853943667</v>
      </c>
      <c r="H15" s="23">
        <f t="shared" si="0"/>
        <v>10993.834998992465</v>
      </c>
      <c r="I15" s="23">
        <f>'Table 1.1'!H87</f>
        <v>47710</v>
      </c>
      <c r="J15" s="23">
        <f>'Table 1.1'!H97</f>
        <v>58433.717357910726</v>
      </c>
      <c r="K15" s="85">
        <f>(H15/G15)^(1/10)-1</f>
        <v>2.8598658299180846E-2</v>
      </c>
      <c r="L15" s="85">
        <f>($J15/$I15)^(1/10)-1</f>
        <v>2.0482143757862836E-2</v>
      </c>
      <c r="M15" s="85">
        <f t="shared" si="5"/>
        <v>8.1165145413180095E-3</v>
      </c>
      <c r="N15" s="85">
        <f>(($J15-H15)/($I15-G15))^(1/10)-1</f>
        <v>1.8698205346805885E-2</v>
      </c>
      <c r="O15" s="85">
        <f t="shared" si="3"/>
        <v>9.9004529523749607E-3</v>
      </c>
    </row>
    <row r="16" spans="1:15" ht="16.5" customHeight="1">
      <c r="A16" s="62"/>
      <c r="B16" s="284"/>
      <c r="C16" s="28" t="s">
        <v>745</v>
      </c>
      <c r="D16" s="30"/>
      <c r="E16" s="30"/>
      <c r="F16" s="30"/>
      <c r="G16" s="30"/>
      <c r="H16" s="30"/>
      <c r="I16" s="30"/>
      <c r="J16" s="30"/>
      <c r="K16" s="30"/>
      <c r="L16" s="30"/>
      <c r="M16" s="30"/>
      <c r="N16" s="30"/>
      <c r="O16" s="30"/>
    </row>
    <row r="17" spans="1:15" ht="12.75" customHeight="1">
      <c r="A17" s="337" t="s">
        <v>746</v>
      </c>
      <c r="B17" s="338" t="s">
        <v>736</v>
      </c>
      <c r="C17" s="23">
        <f>'Table 1.1'!F6</f>
        <v>30.461759611673141</v>
      </c>
      <c r="D17" s="23">
        <f>'Table 1.1'!F27</f>
        <v>84.931536020001815</v>
      </c>
      <c r="E17" s="22">
        <f>'Table 1.1.1'!B7</f>
        <v>9.9049999999999994</v>
      </c>
      <c r="F17" s="22">
        <f>'Table 1.1.1'!B28</f>
        <v>13.759</v>
      </c>
      <c r="G17" s="23">
        <f>C17*100/E17</f>
        <v>307.53921869432753</v>
      </c>
      <c r="H17" s="23">
        <f>D17*100/F17</f>
        <v>617.27986060034755</v>
      </c>
      <c r="I17" s="23">
        <f>'Table 1.1'!H6</f>
        <v>8661</v>
      </c>
      <c r="J17" s="23">
        <f>'Table 1.1'!H27</f>
        <v>14384</v>
      </c>
      <c r="K17" s="85">
        <f>(H17/G17)^(1/21)-1</f>
        <v>3.3733635858854694E-2</v>
      </c>
      <c r="L17" s="85">
        <f>($J17/$I17)^(1/21)-1</f>
        <v>2.4450621546095119E-2</v>
      </c>
      <c r="M17" s="85">
        <f t="shared" ref="M17:M27" si="6">K17-L17</f>
        <v>9.2830143127595743E-3</v>
      </c>
      <c r="N17" s="85">
        <f>(($J17-H17)/($I17-G17))^(1/21)-1</f>
        <v>2.4074662987153106E-2</v>
      </c>
      <c r="O17" s="85">
        <f t="shared" si="3"/>
        <v>9.6589728717015877E-3</v>
      </c>
    </row>
    <row r="18" spans="1:15" ht="12.75" customHeight="1">
      <c r="A18" s="337" t="s">
        <v>747</v>
      </c>
      <c r="B18" s="338" t="s">
        <v>737</v>
      </c>
      <c r="C18" s="23">
        <f>'Table 1.1'!F27</f>
        <v>84.931536020001815</v>
      </c>
      <c r="D18" s="23">
        <f>'Table 1.1'!F42</f>
        <v>215.8870473946086</v>
      </c>
      <c r="E18" s="22">
        <f>'Table 1.1.1'!B28</f>
        <v>13.759</v>
      </c>
      <c r="F18" s="22">
        <f>'Table 1.1.1'!B43</f>
        <v>18.72</v>
      </c>
      <c r="G18" s="23">
        <f t="shared" ref="G18:H27" si="7">C18*100/E18</f>
        <v>617.27986060034755</v>
      </c>
      <c r="H18" s="23">
        <f t="shared" si="7"/>
        <v>1153.2427745438495</v>
      </c>
      <c r="I18" s="23">
        <f>'Table 1.1'!H27</f>
        <v>14384</v>
      </c>
      <c r="J18" s="23">
        <f>'Table 1.1'!H42</f>
        <v>20442</v>
      </c>
      <c r="K18" s="85">
        <f>(H18/G18)^(1/15)-1</f>
        <v>4.2547638672788546E-2</v>
      </c>
      <c r="L18" s="85">
        <f>($J18/$I18)^(1/15)-1</f>
        <v>2.3708353837189611E-2</v>
      </c>
      <c r="M18" s="85">
        <f t="shared" si="6"/>
        <v>1.8839284835598935E-2</v>
      </c>
      <c r="N18" s="85">
        <f>(($J18-H18)/($I18-G18))^(1/15)-1</f>
        <v>2.2739236368206628E-2</v>
      </c>
      <c r="O18" s="85">
        <f t="shared" si="3"/>
        <v>1.9808402304581918E-2</v>
      </c>
    </row>
    <row r="19" spans="1:15" ht="12.75" customHeight="1">
      <c r="A19" s="337" t="s">
        <v>748</v>
      </c>
      <c r="B19" s="338" t="s">
        <v>738</v>
      </c>
      <c r="C19" s="23">
        <f>'Table 1.1'!F42</f>
        <v>215.8870473946086</v>
      </c>
      <c r="D19" s="23">
        <f>'Table 1.1'!F47</f>
        <v>364.97813144537253</v>
      </c>
      <c r="E19" s="22">
        <f>'Table 1.1.1'!B43</f>
        <v>18.72</v>
      </c>
      <c r="F19" s="22">
        <f>'Table 1.1.1'!B48</f>
        <v>22.805</v>
      </c>
      <c r="G19" s="23">
        <f t="shared" si="7"/>
        <v>1153.2427745438495</v>
      </c>
      <c r="H19" s="23">
        <f t="shared" si="7"/>
        <v>1600.4303067106885</v>
      </c>
      <c r="I19" s="23">
        <f>'Table 1.1'!H42</f>
        <v>20442</v>
      </c>
      <c r="J19" s="23">
        <f>'Table 1.1'!H47</f>
        <v>23003</v>
      </c>
      <c r="K19" s="85">
        <f>(H19/G19)^(1/5)-1</f>
        <v>6.77343261744352E-2</v>
      </c>
      <c r="L19" s="85">
        <f>($J19/$I19)^(1/5)-1</f>
        <v>2.3887448354241059E-2</v>
      </c>
      <c r="M19" s="85">
        <f t="shared" si="6"/>
        <v>4.3846877820194141E-2</v>
      </c>
      <c r="N19" s="85">
        <f>(($J19-H19)/($I19-G19))^(1/5)-1</f>
        <v>2.1015498700454938E-2</v>
      </c>
      <c r="O19" s="85">
        <f t="shared" si="3"/>
        <v>4.6718827473980262E-2</v>
      </c>
    </row>
    <row r="20" spans="1:15" ht="12.75" customHeight="1">
      <c r="A20" s="337" t="s">
        <v>749</v>
      </c>
      <c r="B20" s="338" t="s">
        <v>738</v>
      </c>
      <c r="C20" s="23">
        <f>'Table 1.1'!F47</f>
        <v>364.97813144537253</v>
      </c>
      <c r="D20" s="23">
        <f>'Table 1.1'!F51</f>
        <v>547.72368138084505</v>
      </c>
      <c r="E20" s="22">
        <f>'Table 1.1.1'!B48</f>
        <v>22.805</v>
      </c>
      <c r="F20" s="22">
        <f>'Table 1.1.1'!B52</f>
        <v>28.734000000000002</v>
      </c>
      <c r="G20" s="23">
        <f t="shared" si="7"/>
        <v>1600.4303067106885</v>
      </c>
      <c r="H20" s="23">
        <f t="shared" si="7"/>
        <v>1906.1866826089129</v>
      </c>
      <c r="I20" s="23">
        <f>'Table 1.1'!H47</f>
        <v>23003</v>
      </c>
      <c r="J20" s="23">
        <f>'Table 1.1'!H51</f>
        <v>25200</v>
      </c>
      <c r="K20" s="85">
        <f>(H20/G20)^(1/4)-1</f>
        <v>4.4677319525689541E-2</v>
      </c>
      <c r="L20" s="85">
        <f>($J20/$I20)^(1/4)-1</f>
        <v>2.3066856368422428E-2</v>
      </c>
      <c r="M20" s="85">
        <f t="shared" si="6"/>
        <v>2.1610463157267112E-2</v>
      </c>
      <c r="N20" s="85">
        <f>(($J20-H20)/($I20-G20))^(1/4)-1</f>
        <v>2.1394859200840388E-2</v>
      </c>
      <c r="O20" s="85">
        <f t="shared" si="3"/>
        <v>2.3282460324849152E-2</v>
      </c>
    </row>
    <row r="21" spans="1:15" ht="12.75" customHeight="1">
      <c r="A21" s="337" t="s">
        <v>750</v>
      </c>
      <c r="B21" s="338" t="s">
        <v>739</v>
      </c>
      <c r="C21" s="23">
        <f>'Table 1.1'!F51</f>
        <v>547.72368138084505</v>
      </c>
      <c r="D21" s="23">
        <f>'Table 1.1'!F59</f>
        <v>1441.3137655134401</v>
      </c>
      <c r="E21" s="22">
        <f>'Table 1.1.1'!B52</f>
        <v>28.734000000000002</v>
      </c>
      <c r="F21" s="22">
        <f>'Table 1.1.1'!B60</f>
        <v>51.585999999999999</v>
      </c>
      <c r="G21" s="23">
        <f t="shared" si="7"/>
        <v>1906.1866826089129</v>
      </c>
      <c r="H21" s="23">
        <f t="shared" si="7"/>
        <v>2794.0017941174738</v>
      </c>
      <c r="I21" s="23">
        <f>'Table 1.1'!H51</f>
        <v>25200</v>
      </c>
      <c r="J21" s="23">
        <f>'Table 1.1'!H59</f>
        <v>27923</v>
      </c>
      <c r="K21" s="85">
        <f>(H21/G21)^(1/8)-1</f>
        <v>4.8956929273648253E-2</v>
      </c>
      <c r="L21" s="85">
        <f>($J21/$I21)^(1/8)-1</f>
        <v>1.2908444807403496E-2</v>
      </c>
      <c r="M21" s="85">
        <f t="shared" si="6"/>
        <v>3.6048484466244757E-2</v>
      </c>
      <c r="N21" s="85">
        <f>(($J21-H21)/($I21-G21))^(1/8)-1</f>
        <v>9.5244066825090901E-3</v>
      </c>
      <c r="O21" s="85">
        <f t="shared" si="3"/>
        <v>3.9432522591139163E-2</v>
      </c>
    </row>
    <row r="22" spans="1:15" ht="12.75" customHeight="1">
      <c r="A22" s="337" t="s">
        <v>751</v>
      </c>
      <c r="B22" s="338" t="s">
        <v>740</v>
      </c>
      <c r="C22" s="23">
        <f>'Table 1.1'!F59</f>
        <v>1441.3137655134401</v>
      </c>
      <c r="D22" s="23">
        <f>'Table 1.1'!F69</f>
        <v>3339.1846552650218</v>
      </c>
      <c r="E22" s="22">
        <f>'Table 1.1.1'!B60</f>
        <v>51.585999999999999</v>
      </c>
      <c r="F22" s="22">
        <f>'Table 1.1.1'!B70</f>
        <v>70.644000000000005</v>
      </c>
      <c r="G22" s="23">
        <f t="shared" si="7"/>
        <v>2794.0017941174738</v>
      </c>
      <c r="H22" s="23">
        <f t="shared" si="7"/>
        <v>4726.7774407805637</v>
      </c>
      <c r="I22" s="23">
        <f>'Table 1.1'!H59</f>
        <v>27923</v>
      </c>
      <c r="J22" s="23">
        <f>'Table 1.1'!H69</f>
        <v>36029</v>
      </c>
      <c r="K22" s="85">
        <f>(H22/G22)^(1/10)-1</f>
        <v>5.3983585552677571E-2</v>
      </c>
      <c r="L22" s="85">
        <f>($J22/$I22)^(1/10)-1</f>
        <v>2.5814924269352613E-2</v>
      </c>
      <c r="M22" s="85">
        <f t="shared" si="6"/>
        <v>2.8168661283324958E-2</v>
      </c>
      <c r="N22" s="85">
        <f>(($J22-H22)/($I22-G22))^(1/10)-1</f>
        <v>2.2209705170136651E-2</v>
      </c>
      <c r="O22" s="85">
        <f t="shared" si="3"/>
        <v>3.177388038254092E-2</v>
      </c>
    </row>
    <row r="23" spans="1:15" ht="12.75" customHeight="1">
      <c r="A23" s="337" t="s">
        <v>752</v>
      </c>
      <c r="B23" s="338" t="s">
        <v>741</v>
      </c>
      <c r="C23" s="23">
        <f>'Table 1.1'!F69</f>
        <v>3339.1846552650218</v>
      </c>
      <c r="D23" s="23">
        <f>'Table 1.1'!F77</f>
        <v>4876.7271722887554</v>
      </c>
      <c r="E23" s="22">
        <f>'Table 1.1.1'!B70</f>
        <v>70.644000000000005</v>
      </c>
      <c r="F23" s="22">
        <f>'Table 1.1.1'!B78</f>
        <v>81.891000000000005</v>
      </c>
      <c r="G23" s="23">
        <f t="shared" si="7"/>
        <v>4726.7774407805637</v>
      </c>
      <c r="H23" s="23">
        <f t="shared" si="7"/>
        <v>5955.1442433097109</v>
      </c>
      <c r="I23" s="23">
        <f>'Table 1.1'!H69</f>
        <v>36029</v>
      </c>
      <c r="J23" s="23">
        <f>'Table 1.1'!H77</f>
        <v>44495</v>
      </c>
      <c r="K23" s="85">
        <f>(H23/G23)^(1/8)-1</f>
        <v>2.9297437069047971E-2</v>
      </c>
      <c r="L23" s="85">
        <f>($J23/$I23)^(1/8)-1</f>
        <v>2.6732656124628162E-2</v>
      </c>
      <c r="M23" s="85">
        <f t="shared" si="6"/>
        <v>2.5647809444198089E-3</v>
      </c>
      <c r="N23" s="85">
        <f>(($J23-H23)/($I23-G23))^(1/8)-1</f>
        <v>2.6341438164090514E-2</v>
      </c>
      <c r="O23" s="85">
        <f t="shared" si="3"/>
        <v>2.9559989049574575E-3</v>
      </c>
    </row>
    <row r="24" spans="1:15" ht="12.75" customHeight="1">
      <c r="A24" s="337" t="s">
        <v>753</v>
      </c>
      <c r="B24" s="338" t="s">
        <v>754</v>
      </c>
      <c r="C24" s="23">
        <f>'Table 1.1'!F77</f>
        <v>4876.7271722887554</v>
      </c>
      <c r="D24" s="23">
        <f>'Table 1.1'!F84</f>
        <v>7617.8305313958417</v>
      </c>
      <c r="E24" s="22">
        <f>'Table 1.1.1'!B78</f>
        <v>81.891000000000005</v>
      </c>
      <c r="F24" s="22">
        <f>'Table 1.1.1'!B85</f>
        <v>97.334999999999994</v>
      </c>
      <c r="G24" s="23">
        <f t="shared" si="7"/>
        <v>5955.1442433097109</v>
      </c>
      <c r="H24" s="23">
        <f t="shared" si="7"/>
        <v>7826.4042034169024</v>
      </c>
      <c r="I24" s="23">
        <f>'Table 1.1'!H77</f>
        <v>44495</v>
      </c>
      <c r="J24" s="23">
        <f>'Table 1.1'!H84</f>
        <v>49311</v>
      </c>
      <c r="K24" s="85">
        <f>(H24/G24)^(1/7)-1</f>
        <v>3.9807284231256235E-2</v>
      </c>
      <c r="L24" s="85">
        <f>($J24/$I24)^(1/7)-1</f>
        <v>1.4789781795788937E-2</v>
      </c>
      <c r="M24" s="85">
        <f t="shared" si="6"/>
        <v>2.5017502435467298E-2</v>
      </c>
      <c r="N24" s="85">
        <f>(($J24-H24)/($I24-G24))^(1/7)-1</f>
        <v>1.0573978148424645E-2</v>
      </c>
      <c r="O24" s="85">
        <f t="shared" si="3"/>
        <v>2.9233306082831589E-2</v>
      </c>
    </row>
    <row r="25" spans="1:15" ht="12.75" customHeight="1">
      <c r="A25" s="337" t="s">
        <v>755</v>
      </c>
      <c r="B25" s="338" t="s">
        <v>754</v>
      </c>
      <c r="C25" s="23">
        <f>'Table 1.1'!F84</f>
        <v>7617.8305313958417</v>
      </c>
      <c r="D25" s="23">
        <f>'Table 1.1'!F86</f>
        <v>8140.7726858481965</v>
      </c>
      <c r="E25" s="22">
        <f>'Table 1.1.1'!B85</f>
        <v>97.334999999999994</v>
      </c>
      <c r="F25" s="22">
        <f>'Table 1.1.1'!B87</f>
        <v>100</v>
      </c>
      <c r="G25" s="23">
        <f t="shared" si="7"/>
        <v>7826.4042034169024</v>
      </c>
      <c r="H25" s="23">
        <f t="shared" si="7"/>
        <v>8140.7726858481965</v>
      </c>
      <c r="I25" s="23">
        <f>'Table 1.1'!H84</f>
        <v>49311</v>
      </c>
      <c r="J25" s="23">
        <f>'Table 1.1'!H86</f>
        <v>46927</v>
      </c>
      <c r="K25" s="85">
        <f>(H25/G25)^(1/2)-1</f>
        <v>1.9886110213851227E-2</v>
      </c>
      <c r="L25" s="85">
        <f>($J25/$I25)^(1/2)-1</f>
        <v>-2.4472558450871706E-2</v>
      </c>
      <c r="M25" s="85">
        <f t="shared" si="6"/>
        <v>4.4358668664722933E-2</v>
      </c>
      <c r="N25" s="85">
        <f>(($J25-H25)/($I25-G25))^(1/2)-1</f>
        <v>-3.3069325692287266E-2</v>
      </c>
      <c r="O25" s="85">
        <f t="shared" si="3"/>
        <v>5.2955435906138493E-2</v>
      </c>
    </row>
    <row r="26" spans="1:15" ht="12.75" customHeight="1">
      <c r="A26" s="337" t="s">
        <v>756</v>
      </c>
      <c r="B26" s="338" t="s">
        <v>754</v>
      </c>
      <c r="C26" s="23">
        <f>'Table 1.1'!F86</f>
        <v>8140.7726858481965</v>
      </c>
      <c r="D26" s="23">
        <f>'Table 1.1'!F89</f>
        <v>8957.9057628830305</v>
      </c>
      <c r="E26" s="22">
        <f>'Table 1.1.1'!B87</f>
        <v>100</v>
      </c>
      <c r="F26" s="22">
        <f>'Table 1.1.1'!B90</f>
        <v>105.002</v>
      </c>
      <c r="G26" s="23">
        <f t="shared" si="7"/>
        <v>8140.7726858481965</v>
      </c>
      <c r="H26" s="23">
        <f t="shared" si="7"/>
        <v>8531.1763231967307</v>
      </c>
      <c r="I26" s="23">
        <f>'Table 1.1'!H86</f>
        <v>46927</v>
      </c>
      <c r="J26" s="23">
        <f>'Table 1.1'!H89</f>
        <v>49226</v>
      </c>
      <c r="K26" s="85">
        <f>(H26/G26)^(1/3)-1</f>
        <v>1.5736588302033727E-2</v>
      </c>
      <c r="L26" s="85">
        <f>($J26/$I26)^(1/3)-1</f>
        <v>1.6070678453492526E-2</v>
      </c>
      <c r="M26" s="85">
        <f t="shared" si="6"/>
        <v>-3.3409015145879906E-4</v>
      </c>
      <c r="N26" s="85">
        <f>(($J26-H26)/($I26-G26))^(1/3)-1</f>
        <v>1.614077215538412E-2</v>
      </c>
      <c r="O26" s="85">
        <f t="shared" si="3"/>
        <v>-4.0418385335039275E-4</v>
      </c>
    </row>
    <row r="27" spans="1:15" ht="12.75" customHeight="1">
      <c r="A27" s="337" t="s">
        <v>757</v>
      </c>
      <c r="B27" s="338" t="s">
        <v>754</v>
      </c>
      <c r="C27" s="23">
        <f>'Table 1.1'!F89</f>
        <v>8957.9057628830305</v>
      </c>
      <c r="D27" s="23">
        <f>'Table 1.1'!F98</f>
        <v>14243.133092908209</v>
      </c>
      <c r="E27" s="22">
        <f>'Table 1.1.1'!B90</f>
        <v>105.002</v>
      </c>
      <c r="F27" s="22">
        <f>'Table 1.1.1'!B99</f>
        <v>125.27029797733637</v>
      </c>
      <c r="G27" s="23">
        <f t="shared" si="7"/>
        <v>8531.1763231967307</v>
      </c>
      <c r="H27" s="23">
        <f t="shared" si="7"/>
        <v>11369.920342558014</v>
      </c>
      <c r="I27" s="23">
        <f>'Table 1.1'!H89</f>
        <v>49226</v>
      </c>
      <c r="J27" s="23">
        <f>'Table 1.1'!H98</f>
        <v>59277.927344303353</v>
      </c>
      <c r="K27" s="85">
        <f>(H27/G27)^(1/9)-1</f>
        <v>3.2430782704512051E-2</v>
      </c>
      <c r="L27" s="85">
        <f>($J27/$I27)^(1/9)-1</f>
        <v>2.0860725214071785E-2</v>
      </c>
      <c r="M27" s="85">
        <f t="shared" si="6"/>
        <v>1.1570057490440266E-2</v>
      </c>
      <c r="N27" s="85">
        <f>(($J27-H27)/($I27-G27))^(1/9)-1</f>
        <v>1.8296675539202223E-2</v>
      </c>
      <c r="O27" s="85">
        <f t="shared" si="3"/>
        <v>1.4134107165309828E-2</v>
      </c>
    </row>
    <row r="28" spans="1:15" ht="16.5" customHeight="1">
      <c r="A28" s="62"/>
      <c r="B28" s="284"/>
      <c r="C28" s="28" t="s">
        <v>758</v>
      </c>
      <c r="D28" s="30"/>
      <c r="E28" s="30"/>
      <c r="F28" s="30"/>
      <c r="G28" s="30"/>
      <c r="H28" s="30"/>
      <c r="I28" s="30"/>
      <c r="J28" s="30"/>
      <c r="K28" s="30"/>
      <c r="L28" s="30"/>
      <c r="M28" s="30"/>
      <c r="N28" s="30"/>
      <c r="O28" s="30"/>
    </row>
    <row r="29" spans="1:15" ht="12.75" customHeight="1">
      <c r="A29" s="337" t="s">
        <v>759</v>
      </c>
      <c r="B29" s="338" t="s">
        <v>754</v>
      </c>
      <c r="C29" s="23">
        <f>C17</f>
        <v>30.461759611673141</v>
      </c>
      <c r="D29" s="23">
        <f>D20</f>
        <v>547.72368138084505</v>
      </c>
      <c r="E29" s="22">
        <f>E17</f>
        <v>9.9049999999999994</v>
      </c>
      <c r="F29" s="22">
        <f>F20</f>
        <v>28.734000000000002</v>
      </c>
      <c r="G29" s="23">
        <f t="shared" ref="G29:H32" si="8">C29*100/E29</f>
        <v>307.53921869432753</v>
      </c>
      <c r="H29" s="23">
        <f t="shared" si="8"/>
        <v>1906.1866826089129</v>
      </c>
      <c r="I29" s="22">
        <f>I17</f>
        <v>8661</v>
      </c>
      <c r="J29" s="22">
        <f>J20</f>
        <v>25200</v>
      </c>
      <c r="K29" s="85">
        <f>(H29/G29)^(1/45)-1</f>
        <v>4.1371978060442682E-2</v>
      </c>
      <c r="L29" s="85">
        <f>($J29/$I29)^(1/45)-1</f>
        <v>2.4017524371430898E-2</v>
      </c>
      <c r="M29" s="85">
        <f>K29-L29</f>
        <v>1.7354453689011784E-2</v>
      </c>
      <c r="N29" s="85">
        <f>(($J29-H29)/($I29-G29))^(1/45)-1</f>
        <v>2.3050809602602751E-2</v>
      </c>
      <c r="O29" s="85">
        <f t="shared" si="3"/>
        <v>1.8321168457839931E-2</v>
      </c>
    </row>
    <row r="30" spans="1:15" ht="12.75" customHeight="1">
      <c r="A30" s="337" t="s">
        <v>760</v>
      </c>
      <c r="B30" s="338" t="s">
        <v>754</v>
      </c>
      <c r="C30" s="23">
        <f>D29</f>
        <v>547.72368138084505</v>
      </c>
      <c r="D30" s="23">
        <f>D27</f>
        <v>14243.133092908209</v>
      </c>
      <c r="E30" s="22">
        <f>F29</f>
        <v>28.734000000000002</v>
      </c>
      <c r="F30" s="22">
        <f>F27</f>
        <v>125.27029797733637</v>
      </c>
      <c r="G30" s="23">
        <f t="shared" si="8"/>
        <v>1906.1866826089129</v>
      </c>
      <c r="H30" s="23">
        <f t="shared" si="8"/>
        <v>11369.920342558014</v>
      </c>
      <c r="I30" s="22">
        <f>J29</f>
        <v>25200</v>
      </c>
      <c r="J30" s="22">
        <f>J27</f>
        <v>59277.927344303353</v>
      </c>
      <c r="K30" s="85">
        <f>(H30/G30)^(1/47)-1</f>
        <v>3.8728283696303212E-2</v>
      </c>
      <c r="L30" s="85">
        <f>($J30/$I30)^(1/47)-1</f>
        <v>1.8366478155442678E-2</v>
      </c>
      <c r="M30" s="85">
        <f>K30-L30</f>
        <v>2.0361805540860534E-2</v>
      </c>
      <c r="N30" s="85">
        <f>(($J30-H30)/($I30-G30))^(1/47)-1</f>
        <v>1.5460743105630836E-2</v>
      </c>
      <c r="O30" s="85">
        <f t="shared" si="3"/>
        <v>2.3267540590672375E-2</v>
      </c>
    </row>
    <row r="31" spans="1:15" ht="12.75" customHeight="1">
      <c r="A31" s="337" t="s">
        <v>761</v>
      </c>
      <c r="B31" s="338" t="s">
        <v>754</v>
      </c>
      <c r="C31" s="23">
        <f>C29</f>
        <v>30.461759611673141</v>
      </c>
      <c r="D31" s="23">
        <f>D25</f>
        <v>8140.7726858481965</v>
      </c>
      <c r="E31" s="22">
        <f>E29</f>
        <v>9.9049999999999994</v>
      </c>
      <c r="F31" s="22">
        <f>F25</f>
        <v>100</v>
      </c>
      <c r="G31" s="23">
        <f t="shared" si="8"/>
        <v>307.53921869432753</v>
      </c>
      <c r="H31" s="23">
        <f t="shared" si="8"/>
        <v>8140.7726858481965</v>
      </c>
      <c r="I31" s="22">
        <f>I29</f>
        <v>8661</v>
      </c>
      <c r="J31" s="22">
        <f>J25</f>
        <v>46927</v>
      </c>
      <c r="K31" s="85">
        <f>(H31/G31)^(1/80)-1</f>
        <v>4.1800505965180701E-2</v>
      </c>
      <c r="L31" s="85">
        <f>($J31/$I31)^(1/80)-1</f>
        <v>2.1346686799895931E-2</v>
      </c>
      <c r="M31" s="85">
        <f>K31-L31</f>
        <v>2.045381916528477E-2</v>
      </c>
      <c r="N31" s="85">
        <f>(($J31-H31)/($I31-G31))^(1/80)-1</f>
        <v>1.9377723623401177E-2</v>
      </c>
      <c r="O31" s="85">
        <f t="shared" si="3"/>
        <v>2.2422782341779524E-2</v>
      </c>
    </row>
    <row r="32" spans="1:15" ht="12.75" customHeight="1">
      <c r="A32" s="337" t="s">
        <v>762</v>
      </c>
      <c r="B32" s="338" t="s">
        <v>754</v>
      </c>
      <c r="C32" s="23">
        <f>C31</f>
        <v>30.461759611673141</v>
      </c>
      <c r="D32" s="23">
        <f>D30</f>
        <v>14243.133092908209</v>
      </c>
      <c r="E32" s="22">
        <f>E31</f>
        <v>9.9049999999999994</v>
      </c>
      <c r="F32" s="22">
        <f>F30</f>
        <v>125.27029797733637</v>
      </c>
      <c r="G32" s="23">
        <f t="shared" si="8"/>
        <v>307.53921869432753</v>
      </c>
      <c r="H32" s="23">
        <f t="shared" si="8"/>
        <v>11369.920342558014</v>
      </c>
      <c r="I32" s="22">
        <f>I31</f>
        <v>8661</v>
      </c>
      <c r="J32" s="22">
        <f>J30</f>
        <v>59277.927344303353</v>
      </c>
      <c r="K32" s="85">
        <f>(H32/G32)^(1/92)-1</f>
        <v>4.002055547647676E-2</v>
      </c>
      <c r="L32" s="85">
        <f>($J32/$I32)^(1/92)-1</f>
        <v>2.1126669814331533E-2</v>
      </c>
      <c r="M32" s="85">
        <f>K32-L32</f>
        <v>1.8893885662145227E-2</v>
      </c>
      <c r="N32" s="85">
        <f>(($J32-H32)/($I32-G32))^(1/92)-1</f>
        <v>1.9166214041475893E-2</v>
      </c>
      <c r="O32" s="85">
        <f t="shared" si="3"/>
        <v>2.0854341435000867E-2</v>
      </c>
    </row>
    <row r="33" spans="1:15">
      <c r="A33" s="339" t="s">
        <v>23</v>
      </c>
      <c r="B33" s="340"/>
      <c r="C33" s="28" t="s">
        <v>24</v>
      </c>
      <c r="D33" s="29"/>
      <c r="E33" s="28" t="s">
        <v>25</v>
      </c>
      <c r="F33" s="29"/>
      <c r="G33" s="28" t="s">
        <v>26</v>
      </c>
      <c r="H33" s="29"/>
      <c r="I33" s="28" t="str">
        <f>C33</f>
        <v>[A]</v>
      </c>
      <c r="J33" s="29"/>
      <c r="K33" s="28" t="s">
        <v>27</v>
      </c>
      <c r="L33" s="30"/>
      <c r="M33" s="30"/>
      <c r="N33" s="30"/>
      <c r="O33" s="30"/>
    </row>
    <row r="34" spans="1:15" s="93" customFormat="1" ht="18" customHeight="1">
      <c r="A34" s="31" t="s">
        <v>36</v>
      </c>
      <c r="B34" s="32">
        <v>41519</v>
      </c>
      <c r="C34" s="32"/>
      <c r="D34" s="32"/>
      <c r="E34" s="32"/>
      <c r="F34" s="32"/>
      <c r="G34" s="31"/>
      <c r="H34" s="31"/>
      <c r="I34" s="31"/>
      <c r="J34" s="31"/>
    </row>
    <row r="35" spans="1:15" s="38" customFormat="1" ht="18" customHeight="1">
      <c r="A35" s="271" t="s">
        <v>39</v>
      </c>
      <c r="B35" s="264"/>
      <c r="C35" s="264"/>
      <c r="D35" s="264"/>
      <c r="E35" s="264"/>
      <c r="F35" s="264"/>
      <c r="G35" s="264"/>
      <c r="H35" s="264"/>
      <c r="I35" s="264"/>
      <c r="J35" s="264"/>
      <c r="K35" s="264"/>
      <c r="L35" s="264"/>
      <c r="M35" s="264"/>
    </row>
    <row r="36" spans="1:15" s="41" customFormat="1" ht="18" customHeight="1">
      <c r="A36" s="39" t="str">
        <f>C33</f>
        <v>[A]</v>
      </c>
      <c r="B36" s="40" t="s">
        <v>763</v>
      </c>
      <c r="C36" s="40"/>
      <c r="D36" s="40"/>
      <c r="E36" s="40"/>
      <c r="F36" s="40"/>
      <c r="G36" s="40"/>
      <c r="H36" s="40"/>
      <c r="I36" s="40"/>
      <c r="J36" s="40"/>
      <c r="K36" s="40"/>
      <c r="L36" s="40"/>
      <c r="M36" s="40"/>
    </row>
    <row r="37" spans="1:15" s="41" customFormat="1" ht="18" customHeight="1">
      <c r="A37" s="39" t="str">
        <f>E33</f>
        <v>[B]</v>
      </c>
      <c r="B37" s="40" t="s">
        <v>517</v>
      </c>
      <c r="C37" s="40"/>
      <c r="D37" s="40"/>
      <c r="E37" s="40"/>
      <c r="F37" s="40"/>
      <c r="G37" s="40"/>
      <c r="H37" s="40"/>
      <c r="I37" s="40"/>
      <c r="J37" s="40"/>
      <c r="K37" s="40"/>
      <c r="L37" s="40"/>
      <c r="M37" s="40"/>
    </row>
    <row r="38" spans="1:15" s="41" customFormat="1" ht="18" customHeight="1">
      <c r="A38" s="39" t="str">
        <f>G33</f>
        <v>[C]</v>
      </c>
      <c r="B38" s="40" t="s">
        <v>764</v>
      </c>
      <c r="C38" s="40"/>
      <c r="D38" s="40"/>
      <c r="E38" s="40"/>
      <c r="F38" s="40"/>
      <c r="G38" s="40"/>
      <c r="H38" s="40"/>
      <c r="I38" s="40"/>
      <c r="J38" s="40"/>
      <c r="K38" s="40"/>
      <c r="L38" s="40"/>
      <c r="M38" s="40"/>
      <c r="N38" s="40"/>
      <c r="O38" s="40"/>
    </row>
    <row r="39" spans="1:15" s="41" customFormat="1" ht="18" customHeight="1">
      <c r="A39" s="39" t="str">
        <f>K33</f>
        <v>[D]</v>
      </c>
      <c r="B39" s="114" t="s">
        <v>765</v>
      </c>
      <c r="C39" s="114"/>
      <c r="D39" s="114"/>
      <c r="E39" s="114"/>
      <c r="F39" s="114"/>
      <c r="G39" s="114"/>
      <c r="H39" s="114"/>
      <c r="I39" s="114"/>
      <c r="J39" s="114"/>
      <c r="K39" s="114"/>
      <c r="L39" s="114"/>
      <c r="M39" s="114"/>
      <c r="N39" s="269"/>
      <c r="O39" s="269"/>
    </row>
    <row r="40" spans="1:15" s="38" customFormat="1" ht="19.5" customHeight="1">
      <c r="A40" s="67" t="s">
        <v>110</v>
      </c>
      <c r="B40" s="329"/>
      <c r="C40" s="329"/>
      <c r="D40" s="329"/>
      <c r="E40" s="329"/>
      <c r="F40" s="329"/>
      <c r="G40" s="329"/>
      <c r="H40" s="329"/>
      <c r="I40" s="263"/>
      <c r="J40" s="263"/>
      <c r="K40" s="263"/>
      <c r="L40" s="264"/>
      <c r="M40" s="264"/>
      <c r="N40" s="264"/>
    </row>
    <row r="41" spans="1:15" s="89" customFormat="1" ht="24.75" customHeight="1">
      <c r="A41" s="39" t="s">
        <v>111</v>
      </c>
      <c r="B41" s="88" t="s">
        <v>766</v>
      </c>
      <c r="C41" s="88"/>
      <c r="D41" s="88"/>
      <c r="E41" s="88"/>
      <c r="F41" s="88"/>
      <c r="G41" s="88"/>
      <c r="H41" s="88"/>
      <c r="I41" s="88"/>
      <c r="J41" s="88"/>
      <c r="K41" s="88"/>
      <c r="L41" s="88"/>
      <c r="M41" s="88"/>
      <c r="N41" s="88"/>
      <c r="O41" s="88"/>
    </row>
    <row r="42" spans="1:15" s="89" customFormat="1" ht="36" customHeight="1">
      <c r="A42" s="39" t="s">
        <v>113</v>
      </c>
      <c r="B42" s="88" t="s">
        <v>767</v>
      </c>
      <c r="C42" s="88"/>
      <c r="D42" s="88"/>
      <c r="E42" s="88"/>
      <c r="F42" s="88"/>
      <c r="G42" s="88"/>
      <c r="H42" s="88"/>
      <c r="I42" s="88"/>
      <c r="J42" s="88"/>
      <c r="K42" s="88"/>
      <c r="L42" s="88"/>
      <c r="M42" s="88"/>
      <c r="N42" s="88"/>
      <c r="O42" s="88"/>
    </row>
    <row r="43" spans="1:15" s="89" customFormat="1" ht="18" customHeight="1">
      <c r="A43" s="91" t="s">
        <v>768</v>
      </c>
      <c r="B43" s="91"/>
      <c r="C43" s="91"/>
      <c r="D43" s="91"/>
      <c r="E43" s="91"/>
      <c r="F43" s="91"/>
      <c r="G43" s="91"/>
      <c r="H43" s="91"/>
      <c r="I43" s="91"/>
      <c r="J43" s="91"/>
      <c r="K43" s="91"/>
      <c r="L43" s="91"/>
      <c r="M43" s="91"/>
      <c r="N43" s="91"/>
    </row>
  </sheetData>
  <mergeCells count="54">
    <mergeCell ref="A40:H40"/>
    <mergeCell ref="B41:O41"/>
    <mergeCell ref="B42:O42"/>
    <mergeCell ref="A43:N43"/>
    <mergeCell ref="K33:O33"/>
    <mergeCell ref="B34:F34"/>
    <mergeCell ref="B36:M36"/>
    <mergeCell ref="B37:M37"/>
    <mergeCell ref="B38:O38"/>
    <mergeCell ref="B39:M39"/>
    <mergeCell ref="C28:O28"/>
    <mergeCell ref="A29:B29"/>
    <mergeCell ref="A30:B30"/>
    <mergeCell ref="A31:B31"/>
    <mergeCell ref="A32:B32"/>
    <mergeCell ref="A33:B33"/>
    <mergeCell ref="C33:D33"/>
    <mergeCell ref="E33:F33"/>
    <mergeCell ref="G33:H33"/>
    <mergeCell ref="I33:J33"/>
    <mergeCell ref="A22:B22"/>
    <mergeCell ref="A23:B23"/>
    <mergeCell ref="A24:B24"/>
    <mergeCell ref="A25:B25"/>
    <mergeCell ref="A26:B26"/>
    <mergeCell ref="A27:B27"/>
    <mergeCell ref="C16:O16"/>
    <mergeCell ref="A17:B17"/>
    <mergeCell ref="A18:B18"/>
    <mergeCell ref="A19:B19"/>
    <mergeCell ref="A20:B20"/>
    <mergeCell ref="A21:B21"/>
    <mergeCell ref="A10:B10"/>
    <mergeCell ref="A11:B11"/>
    <mergeCell ref="A12:B12"/>
    <mergeCell ref="A13:B13"/>
    <mergeCell ref="A14:B14"/>
    <mergeCell ref="A15:B15"/>
    <mergeCell ref="M3:M5"/>
    <mergeCell ref="N3:N5"/>
    <mergeCell ref="C6:O6"/>
    <mergeCell ref="A7:B7"/>
    <mergeCell ref="A8:B8"/>
    <mergeCell ref="A9:B9"/>
    <mergeCell ref="A1:O1"/>
    <mergeCell ref="A2:B5"/>
    <mergeCell ref="C2:D4"/>
    <mergeCell ref="E2:F4"/>
    <mergeCell ref="G2:H4"/>
    <mergeCell ref="I2:J4"/>
    <mergeCell ref="K2:N2"/>
    <mergeCell ref="O2:O5"/>
    <mergeCell ref="K3:K5"/>
    <mergeCell ref="L3:L5"/>
  </mergeCells>
  <pageMargins left="0.7" right="0.7" top="0.75" bottom="0.75" header="0.3" footer="0.3"/>
  <pageSetup scale="89" orientation="portrait" horizont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09"/>
  <sheetViews>
    <sheetView view="pageBreakPreview" topLeftCell="A88" zoomScaleNormal="100" zoomScaleSheetLayoutView="100" workbookViewId="0">
      <selection activeCell="L9" sqref="L9"/>
    </sheetView>
  </sheetViews>
  <sheetFormatPr defaultRowHeight="15"/>
  <cols>
    <col min="1" max="1" width="6.7109375" style="93" customWidth="1"/>
    <col min="2" max="13" width="6.7109375" customWidth="1"/>
  </cols>
  <sheetData>
    <row r="1" spans="1:16" ht="24.75" customHeight="1" thickBot="1">
      <c r="A1" s="94" t="s">
        <v>769</v>
      </c>
      <c r="B1" s="94"/>
      <c r="C1" s="94"/>
      <c r="D1" s="94"/>
      <c r="E1" s="94"/>
      <c r="F1" s="94"/>
      <c r="G1" s="94"/>
      <c r="H1" s="94"/>
      <c r="I1" s="94"/>
      <c r="J1" s="94"/>
      <c r="K1" s="94"/>
      <c r="L1" s="94"/>
      <c r="M1" s="94"/>
    </row>
    <row r="2" spans="1:16" ht="36" customHeight="1" thickTop="1">
      <c r="A2" s="2" t="s">
        <v>770</v>
      </c>
      <c r="B2" s="5" t="s">
        <v>771</v>
      </c>
      <c r="C2" s="6"/>
      <c r="D2" s="341"/>
      <c r="E2" s="5" t="s">
        <v>772</v>
      </c>
      <c r="F2" s="6"/>
      <c r="G2" s="6"/>
      <c r="H2" s="6"/>
      <c r="I2" s="341"/>
      <c r="J2" s="3" t="s">
        <v>773</v>
      </c>
      <c r="K2" s="4"/>
      <c r="L2" s="3" t="s">
        <v>774</v>
      </c>
      <c r="M2" s="2"/>
      <c r="N2" s="93"/>
    </row>
    <row r="3" spans="1:16" ht="12.75" customHeight="1">
      <c r="A3" s="12"/>
      <c r="B3" s="47" t="s">
        <v>15</v>
      </c>
      <c r="C3" s="47" t="s">
        <v>20</v>
      </c>
      <c r="D3" s="47" t="s">
        <v>732</v>
      </c>
      <c r="E3" s="14" t="s">
        <v>15</v>
      </c>
      <c r="F3" s="14" t="s">
        <v>20</v>
      </c>
      <c r="G3" s="47" t="s">
        <v>732</v>
      </c>
      <c r="H3" s="28" t="s">
        <v>775</v>
      </c>
      <c r="I3" s="29"/>
      <c r="J3" s="11" t="s">
        <v>729</v>
      </c>
      <c r="K3" s="13" t="s">
        <v>730</v>
      </c>
      <c r="L3" s="11" t="s">
        <v>729</v>
      </c>
      <c r="M3" s="12" t="s">
        <v>730</v>
      </c>
      <c r="N3" s="93"/>
      <c r="O3" s="93"/>
      <c r="P3" s="93"/>
    </row>
    <row r="4" spans="1:16" ht="11.25" customHeight="1">
      <c r="A4" s="12"/>
      <c r="B4" s="47"/>
      <c r="C4" s="47"/>
      <c r="D4" s="47"/>
      <c r="E4" s="47"/>
      <c r="F4" s="47"/>
      <c r="G4" s="47"/>
      <c r="H4" s="14" t="s">
        <v>731</v>
      </c>
      <c r="I4" s="79" t="s">
        <v>776</v>
      </c>
      <c r="J4" s="9"/>
      <c r="K4" s="10"/>
      <c r="L4" s="9"/>
      <c r="M4" s="95"/>
      <c r="N4" s="93"/>
      <c r="O4" s="93"/>
      <c r="P4" s="93"/>
    </row>
    <row r="5" spans="1:16" ht="36" customHeight="1">
      <c r="A5" s="95"/>
      <c r="B5" s="18"/>
      <c r="C5" s="18"/>
      <c r="D5" s="18"/>
      <c r="E5" s="18"/>
      <c r="F5" s="18"/>
      <c r="G5" s="18"/>
      <c r="H5" s="18"/>
      <c r="I5" s="10"/>
      <c r="J5" s="63" t="s">
        <v>15</v>
      </c>
      <c r="K5" s="63" t="s">
        <v>20</v>
      </c>
      <c r="L5" s="63" t="s">
        <v>15</v>
      </c>
      <c r="M5" s="27" t="s">
        <v>777</v>
      </c>
    </row>
    <row r="6" spans="1:16" ht="12.75" customHeight="1">
      <c r="A6" s="342">
        <f>'Table 1.1'!A6</f>
        <v>1929</v>
      </c>
      <c r="B6" s="23">
        <f>'Table 1.1'!H6</f>
        <v>8661</v>
      </c>
      <c r="C6" s="343">
        <f>'Table 1.1'!J6</f>
        <v>307.53921869432753</v>
      </c>
      <c r="D6" s="343">
        <f>B6-C6</f>
        <v>8353.4607813056718</v>
      </c>
      <c r="E6" s="126" t="s">
        <v>66</v>
      </c>
      <c r="F6" s="126" t="s">
        <v>66</v>
      </c>
      <c r="G6" s="126" t="s">
        <v>66</v>
      </c>
      <c r="H6" s="344" t="s">
        <v>66</v>
      </c>
      <c r="I6" s="344" t="s">
        <v>66</v>
      </c>
      <c r="J6" s="22">
        <f>'Table 1.3.1'!B7</f>
        <v>104.6</v>
      </c>
      <c r="K6" s="22">
        <f>'Table 1.1'!B6/1000</f>
        <v>3.7126183379514992</v>
      </c>
      <c r="L6" s="85">
        <f>K6/J6</f>
        <v>3.5493483154412038E-2</v>
      </c>
      <c r="M6" s="126" t="s">
        <v>66</v>
      </c>
    </row>
    <row r="7" spans="1:16" ht="12.75" customHeight="1">
      <c r="A7" s="342">
        <f>'Table 1.1'!A7</f>
        <v>1930</v>
      </c>
      <c r="B7" s="23">
        <f>'Table 1.1'!H7</f>
        <v>7840</v>
      </c>
      <c r="C7" s="60">
        <f>'Table 1.1'!J7</f>
        <v>284.21504056793856</v>
      </c>
      <c r="D7" s="60">
        <f t="shared" ref="D7:D70" si="0">B7-C7</f>
        <v>7555.7849594320614</v>
      </c>
      <c r="E7" s="85">
        <f>B7/B6-1</f>
        <v>-9.4792749105184204E-2</v>
      </c>
      <c r="F7" s="85">
        <f>C7/C6-1</f>
        <v>-7.5841312940225558E-2</v>
      </c>
      <c r="G7" s="85">
        <f>D7/D6-1</f>
        <v>-9.5490461110291025E-2</v>
      </c>
      <c r="H7" s="102">
        <f>F7-E7</f>
        <v>1.8951436164958646E-2</v>
      </c>
      <c r="I7" s="102">
        <f>F7-G7</f>
        <v>1.9649148170065467E-2</v>
      </c>
      <c r="J7" s="22">
        <f>'Table 1.3.1'!B8</f>
        <v>92.2</v>
      </c>
      <c r="K7" s="22">
        <f>'Table 1.1'!B7/1000</f>
        <v>3.3411839391004228</v>
      </c>
      <c r="L7" s="85">
        <f>K7/J7</f>
        <v>3.6238437517358162E-2</v>
      </c>
      <c r="M7" s="85">
        <f>(K7-K6)/(J7-J6)</f>
        <v>2.9954387004119086E-2</v>
      </c>
    </row>
    <row r="8" spans="1:16" ht="12.75" customHeight="1">
      <c r="A8" s="342">
        <f>'Table 1.1'!A8</f>
        <v>1931</v>
      </c>
      <c r="B8" s="23">
        <f>'Table 1.1'!H8</f>
        <v>7282</v>
      </c>
      <c r="C8" s="60">
        <f>'Table 1.1'!J8</f>
        <v>269.40944586438138</v>
      </c>
      <c r="D8" s="60">
        <f t="shared" si="0"/>
        <v>7012.5905541356187</v>
      </c>
      <c r="E8" s="85">
        <f t="shared" ref="E8:E71" si="1">B8/B7-1</f>
        <v>-7.1173469387755151E-2</v>
      </c>
      <c r="F8" s="85">
        <f>C8/C7-1</f>
        <v>-5.2092931725117642E-2</v>
      </c>
      <c r="G8" s="85">
        <f>D8/D7-1</f>
        <v>-7.1891194391174529E-2</v>
      </c>
      <c r="H8" s="102">
        <f>F8-E8</f>
        <v>1.9080537662637509E-2</v>
      </c>
      <c r="I8" s="102">
        <f t="shared" ref="I8:I71" si="2">F8-G8</f>
        <v>1.9798262666056887E-2</v>
      </c>
      <c r="J8" s="22">
        <f>'Table 1.3.1'!B9</f>
        <v>77.400000000000006</v>
      </c>
      <c r="K8" s="22">
        <f>'Table 1.1'!B8/1000</f>
        <v>2.8637247162851152</v>
      </c>
      <c r="L8" s="85">
        <f t="shared" ref="L8:L71" si="3">K8/J8</f>
        <v>3.6999027342184951E-2</v>
      </c>
      <c r="M8" s="85">
        <f t="shared" ref="M8:M71" si="4">(K8-K7)/(J8-J7)</f>
        <v>3.2260758298331603E-2</v>
      </c>
      <c r="N8" s="93"/>
    </row>
    <row r="9" spans="1:16" ht="12.75" customHeight="1">
      <c r="A9" s="342">
        <f>'Table 1.1'!A9</f>
        <v>1932</v>
      </c>
      <c r="B9" s="23">
        <f>'Table 1.1'!H9</f>
        <v>6303</v>
      </c>
      <c r="C9" s="60">
        <f>'Table 1.1'!J9</f>
        <v>237.97480846869581</v>
      </c>
      <c r="D9" s="60">
        <f t="shared" si="0"/>
        <v>6065.0251915313038</v>
      </c>
      <c r="E9" s="85">
        <f t="shared" si="1"/>
        <v>-0.1344410876132931</v>
      </c>
      <c r="F9" s="85">
        <f>C9/C8-1</f>
        <v>-0.1166797893623579</v>
      </c>
      <c r="G9" s="85">
        <f>D9/D8-1</f>
        <v>-0.13512344051592973</v>
      </c>
      <c r="H9" s="102">
        <f>F9-E9</f>
        <v>1.7761298250935198E-2</v>
      </c>
      <c r="I9" s="102">
        <f t="shared" si="2"/>
        <v>1.8443651153571827E-2</v>
      </c>
      <c r="J9" s="22">
        <f>'Table 1.3.1'!B10</f>
        <v>59.5</v>
      </c>
      <c r="K9" s="22">
        <f>'Table 1.1'!B9/1000</f>
        <v>2.24764705721421</v>
      </c>
      <c r="L9" s="85">
        <f t="shared" si="3"/>
        <v>3.7775580793516131E-2</v>
      </c>
      <c r="M9" s="85">
        <f t="shared" si="4"/>
        <v>3.4417746316810334E-2</v>
      </c>
      <c r="N9" s="93"/>
    </row>
    <row r="10" spans="1:16" ht="12.75" customHeight="1">
      <c r="A10" s="342">
        <f>'Table 1.1'!A10</f>
        <v>1933</v>
      </c>
      <c r="B10" s="23">
        <f>'Table 1.1'!H10</f>
        <v>6187</v>
      </c>
      <c r="C10" s="60">
        <f>'Table 1.1'!J10</f>
        <v>238.77061233694025</v>
      </c>
      <c r="D10" s="60">
        <f t="shared" si="0"/>
        <v>5948.2293876630602</v>
      </c>
      <c r="E10" s="85">
        <f t="shared" si="1"/>
        <v>-1.8403934634301122E-2</v>
      </c>
      <c r="F10" s="85">
        <f>C10/C9-1</f>
        <v>3.3440676908838007E-3</v>
      </c>
      <c r="G10" s="85">
        <f>D10/D9-1</f>
        <v>-1.9257266075551893E-2</v>
      </c>
      <c r="H10" s="102">
        <f>F10-E10</f>
        <v>2.1748002325184923E-2</v>
      </c>
      <c r="I10" s="102">
        <f t="shared" si="2"/>
        <v>2.2601333766435694E-2</v>
      </c>
      <c r="J10" s="22">
        <f>'Table 1.3.1'!B11</f>
        <v>57.2</v>
      </c>
      <c r="K10" s="22">
        <f>'Table 1.1'!B10/1000</f>
        <v>2.2061143632329525</v>
      </c>
      <c r="L10" s="85">
        <f t="shared" si="3"/>
        <v>3.8568432923653015E-2</v>
      </c>
      <c r="M10" s="85">
        <f t="shared" si="4"/>
        <v>1.8057693035329357E-2</v>
      </c>
      <c r="N10" s="93"/>
    </row>
    <row r="11" spans="1:16" ht="12.75" customHeight="1">
      <c r="A11" s="342">
        <f>'Table 1.1'!A11</f>
        <v>1934</v>
      </c>
      <c r="B11" s="23">
        <f>'Table 1.1'!H11</f>
        <v>6811</v>
      </c>
      <c r="C11" s="60">
        <f>'Table 1.1'!J11</f>
        <v>268.1343620852569</v>
      </c>
      <c r="D11" s="60">
        <f t="shared" si="0"/>
        <v>6542.8656379147433</v>
      </c>
      <c r="E11" s="85">
        <f t="shared" si="1"/>
        <v>0.10085663487958629</v>
      </c>
      <c r="F11" s="85">
        <f>C11/C10-1</f>
        <v>0.12297891043174158</v>
      </c>
      <c r="G11" s="85">
        <f>D11/D10-1</f>
        <v>9.9968614439279957E-2</v>
      </c>
      <c r="H11" s="102">
        <f>F11-E11</f>
        <v>2.2122275552155291E-2</v>
      </c>
      <c r="I11" s="102">
        <f t="shared" si="2"/>
        <v>2.3010295992461627E-2</v>
      </c>
      <c r="J11" s="22">
        <f>'Table 1.3.1'!B12</f>
        <v>66.8</v>
      </c>
      <c r="K11" s="22">
        <f>'Table 1.1'!B11/1000</f>
        <v>2.6304454445847147</v>
      </c>
      <c r="L11" s="85">
        <f t="shared" si="3"/>
        <v>3.937792581713645E-2</v>
      </c>
      <c r="M11" s="85">
        <f t="shared" si="4"/>
        <v>4.420115430747526E-2</v>
      </c>
      <c r="N11" s="93"/>
    </row>
    <row r="12" spans="1:16" ht="12.75" customHeight="1">
      <c r="A12" s="342">
        <f>'Table 1.1'!A12</f>
        <v>1935</v>
      </c>
      <c r="B12" s="23">
        <f>'Table 1.1'!H12</f>
        <v>7366</v>
      </c>
      <c r="C12" s="60">
        <f>'Table 1.1'!J12</f>
        <v>296.32732723977631</v>
      </c>
      <c r="D12" s="60">
        <f t="shared" si="0"/>
        <v>7069.6726727602236</v>
      </c>
      <c r="E12" s="85">
        <f t="shared" si="1"/>
        <v>8.1485831742769133E-2</v>
      </c>
      <c r="F12" s="85">
        <f>C12/C11-1</f>
        <v>0.10514491665769832</v>
      </c>
      <c r="G12" s="85">
        <f>D12/D11-1</f>
        <v>8.0516254497528861E-2</v>
      </c>
      <c r="H12" s="102">
        <f>F12-E12</f>
        <v>2.3659084914929185E-2</v>
      </c>
      <c r="I12" s="102">
        <f t="shared" si="2"/>
        <v>2.4628662160169457E-2</v>
      </c>
      <c r="J12" s="22">
        <f>'Table 1.3.1'!B13</f>
        <v>74.3</v>
      </c>
      <c r="K12" s="22">
        <f>'Table 1.1'!B12/1000</f>
        <v>2.9871875692588654</v>
      </c>
      <c r="L12" s="85">
        <f t="shared" si="3"/>
        <v>4.0204408738342738E-2</v>
      </c>
      <c r="M12" s="85">
        <f t="shared" si="4"/>
        <v>4.7565616623220092E-2</v>
      </c>
      <c r="N12" s="93"/>
    </row>
    <row r="13" spans="1:16" ht="12.75" customHeight="1">
      <c r="A13" s="342">
        <f>'Table 1.1'!A13</f>
        <v>1936</v>
      </c>
      <c r="B13" s="23">
        <f>'Table 1.1'!H13</f>
        <v>8266</v>
      </c>
      <c r="C13" s="60">
        <f>'Table 1.1'!J13</f>
        <v>331.22749081783684</v>
      </c>
      <c r="D13" s="60">
        <f t="shared" si="0"/>
        <v>7934.772509182163</v>
      </c>
      <c r="E13" s="85">
        <f t="shared" si="1"/>
        <v>0.12218300298669571</v>
      </c>
      <c r="F13" s="85">
        <f>C13/C12-1</f>
        <v>0.11777571749169358</v>
      </c>
      <c r="G13" s="85">
        <f>D13/D12-1</f>
        <v>0.12236773560326331</v>
      </c>
      <c r="H13" s="102">
        <f>F13-E13</f>
        <v>-4.4072854950021334E-3</v>
      </c>
      <c r="I13" s="102">
        <f t="shared" si="2"/>
        <v>-4.5920181115697289E-3</v>
      </c>
      <c r="J13" s="22">
        <f>'Table 1.3.1'!B14</f>
        <v>84.9</v>
      </c>
      <c r="K13" s="22">
        <f>'Table 1.1'!B13/1000</f>
        <v>3.3999622457217331</v>
      </c>
      <c r="L13" s="85">
        <f t="shared" si="3"/>
        <v>4.0046669560915585E-2</v>
      </c>
      <c r="M13" s="85">
        <f t="shared" si="4"/>
        <v>3.8941007213478054E-2</v>
      </c>
      <c r="N13" s="93"/>
    </row>
    <row r="14" spans="1:16" ht="12.75" customHeight="1">
      <c r="A14" s="342">
        <f>'Table 1.1'!A14</f>
        <v>1937</v>
      </c>
      <c r="B14" s="23">
        <f>'Table 1.1'!H14</f>
        <v>8635</v>
      </c>
      <c r="C14" s="60">
        <f>'Table 1.1'!J14</f>
        <v>344.34137907733123</v>
      </c>
      <c r="D14" s="60">
        <f t="shared" si="0"/>
        <v>8290.658620922668</v>
      </c>
      <c r="E14" s="85">
        <f t="shared" si="1"/>
        <v>4.4640696830389626E-2</v>
      </c>
      <c r="F14" s="85">
        <f>C14/C13-1</f>
        <v>3.9591786983365296E-2</v>
      </c>
      <c r="G14" s="85">
        <f>D14/D13-1</f>
        <v>4.4851457471360545E-2</v>
      </c>
      <c r="H14" s="102">
        <f>F14-E14</f>
        <v>-5.0489098470243299E-3</v>
      </c>
      <c r="I14" s="102">
        <f t="shared" si="2"/>
        <v>-5.2596704879952494E-3</v>
      </c>
      <c r="J14" s="22">
        <f>'Table 1.3.1'!B15</f>
        <v>93</v>
      </c>
      <c r="K14" s="22">
        <f>'Table 1.1'!B14/1000</f>
        <v>3.7097280813739957</v>
      </c>
      <c r="L14" s="85">
        <f t="shared" si="3"/>
        <v>3.9889549262085974E-2</v>
      </c>
      <c r="M14" s="85">
        <f t="shared" si="4"/>
        <v>3.8242695759538613E-2</v>
      </c>
      <c r="N14" s="93"/>
    </row>
    <row r="15" spans="1:16" ht="12.75" customHeight="1">
      <c r="A15" s="342">
        <f>'Table 1.1'!A15</f>
        <v>1938</v>
      </c>
      <c r="B15" s="23">
        <f>'Table 1.1'!H15</f>
        <v>8284</v>
      </c>
      <c r="C15" s="60">
        <f>'Table 1.1'!J15</f>
        <v>329.21640676256902</v>
      </c>
      <c r="D15" s="60">
        <f t="shared" si="0"/>
        <v>7954.783593237431</v>
      </c>
      <c r="E15" s="85">
        <f t="shared" si="1"/>
        <v>-4.0648523451071172E-2</v>
      </c>
      <c r="F15" s="85">
        <f>C15/C14-1</f>
        <v>-4.3924353080335043E-2</v>
      </c>
      <c r="G15" s="85">
        <f>D15/D14-1</f>
        <v>-4.0512466263851188E-2</v>
      </c>
      <c r="H15" s="102">
        <f>F15-E15</f>
        <v>-3.2758296292638711E-3</v>
      </c>
      <c r="I15" s="102">
        <f t="shared" si="2"/>
        <v>-3.4118868164838556E-3</v>
      </c>
      <c r="J15" s="22">
        <f>'Table 1.3.1'!B16</f>
        <v>87.4</v>
      </c>
      <c r="K15" s="22">
        <f>'Table 1.1'!B15/1000</f>
        <v>3.4726681691597547</v>
      </c>
      <c r="L15" s="85">
        <f t="shared" si="3"/>
        <v>3.9733045413727165E-2</v>
      </c>
      <c r="M15" s="85">
        <f t="shared" si="4"/>
        <v>4.2332127181114496E-2</v>
      </c>
      <c r="N15" s="93"/>
    </row>
    <row r="16" spans="1:16" ht="12.75" customHeight="1">
      <c r="A16" s="342">
        <f>'Table 1.1'!A16</f>
        <v>1939</v>
      </c>
      <c r="B16" s="23">
        <f>'Table 1.1'!H16</f>
        <v>8873</v>
      </c>
      <c r="C16" s="60">
        <f>'Table 1.1'!J16</f>
        <v>362.20503247396891</v>
      </c>
      <c r="D16" s="60">
        <f t="shared" si="0"/>
        <v>8510.7949675260315</v>
      </c>
      <c r="E16" s="85">
        <f t="shared" si="1"/>
        <v>7.1100917431192734E-2</v>
      </c>
      <c r="F16" s="85">
        <f>C16/C15-1</f>
        <v>0.10020346809504943</v>
      </c>
      <c r="G16" s="85">
        <f>D16/D15-1</f>
        <v>6.9896480246336434E-2</v>
      </c>
      <c r="H16" s="102">
        <f>F16-E16</f>
        <v>2.9102550663856697E-2</v>
      </c>
      <c r="I16" s="102">
        <f t="shared" si="2"/>
        <v>3.0306987848712996E-2</v>
      </c>
      <c r="J16" s="22">
        <f>'Table 1.3.1'!B17</f>
        <v>93.5</v>
      </c>
      <c r="K16" s="22">
        <f>'Table 1.1'!B16/1000</f>
        <v>3.8157036799979345</v>
      </c>
      <c r="L16" s="85">
        <f t="shared" si="3"/>
        <v>4.0809665026715874E-2</v>
      </c>
      <c r="M16" s="85">
        <f t="shared" si="4"/>
        <v>5.6235329645603287E-2</v>
      </c>
      <c r="N16" s="93"/>
    </row>
    <row r="17" spans="1:14" ht="12.75" customHeight="1">
      <c r="A17" s="342">
        <f>'Table 1.1'!A17</f>
        <v>1940</v>
      </c>
      <c r="B17" s="23">
        <f>'Table 1.1'!H17</f>
        <v>9574</v>
      </c>
      <c r="C17" s="60">
        <f>'Table 1.1'!J17</f>
        <v>377.27658562705659</v>
      </c>
      <c r="D17" s="60">
        <f t="shared" si="0"/>
        <v>9196.7234143729438</v>
      </c>
      <c r="E17" s="85">
        <f t="shared" si="1"/>
        <v>7.9003719147977103E-2</v>
      </c>
      <c r="F17" s="85">
        <f>C17/C16-1</f>
        <v>4.1610557010057114E-2</v>
      </c>
      <c r="G17" s="85">
        <f>D17/D16-1</f>
        <v>8.059510885459642E-2</v>
      </c>
      <c r="H17" s="102">
        <f>F17-E17</f>
        <v>-3.7393162137919989E-2</v>
      </c>
      <c r="I17" s="102">
        <f t="shared" si="2"/>
        <v>-3.8984551844539306E-2</v>
      </c>
      <c r="J17" s="22">
        <f>'Table 1.3.1'!B18</f>
        <v>102.9</v>
      </c>
      <c r="K17" s="22">
        <f>'Table 1.1'!B17/1000</f>
        <v>4.0565111848212183</v>
      </c>
      <c r="L17" s="85">
        <f t="shared" si="3"/>
        <v>3.9421877403510379E-2</v>
      </c>
      <c r="M17" s="85">
        <f t="shared" si="4"/>
        <v>2.5617819662051455E-2</v>
      </c>
      <c r="N17" s="93"/>
    </row>
    <row r="18" spans="1:14" ht="12.75" customHeight="1">
      <c r="A18" s="342">
        <f>'Table 1.1'!A18</f>
        <v>1941</v>
      </c>
      <c r="B18" s="23">
        <f>'Table 1.1'!H18</f>
        <v>11161</v>
      </c>
      <c r="C18" s="60">
        <f>'Table 1.1'!J18</f>
        <v>444.60716657487393</v>
      </c>
      <c r="D18" s="60">
        <f t="shared" si="0"/>
        <v>10716.392833425127</v>
      </c>
      <c r="E18" s="85">
        <f t="shared" si="1"/>
        <v>0.16576143722581982</v>
      </c>
      <c r="F18" s="85">
        <f>C18/C17-1</f>
        <v>0.17846477494994772</v>
      </c>
      <c r="G18" s="85">
        <f>D18/D17-1</f>
        <v>0.1652403090297565</v>
      </c>
      <c r="H18" s="102">
        <f>F18-E18</f>
        <v>1.2703337724127906E-2</v>
      </c>
      <c r="I18" s="102">
        <f t="shared" si="2"/>
        <v>1.322446592019122E-2</v>
      </c>
      <c r="J18" s="22">
        <f>'Table 1.3.1'!B19</f>
        <v>129.4</v>
      </c>
      <c r="K18" s="22">
        <f>'Table 1.1'!B18/1000</f>
        <v>5.1529818372534058</v>
      </c>
      <c r="L18" s="85">
        <f t="shared" si="3"/>
        <v>3.9822116207522455E-2</v>
      </c>
      <c r="M18" s="85">
        <f t="shared" si="4"/>
        <v>4.1376251035176885E-2</v>
      </c>
      <c r="N18" s="93"/>
    </row>
    <row r="19" spans="1:14" ht="12.75" customHeight="1">
      <c r="A19" s="342">
        <f>'Table 1.1'!A19</f>
        <v>1942</v>
      </c>
      <c r="B19" s="23">
        <f>'Table 1.1'!H19</f>
        <v>13127</v>
      </c>
      <c r="C19" s="60">
        <f>'Table 1.1'!J19</f>
        <v>528.04676268371963</v>
      </c>
      <c r="D19" s="60">
        <f t="shared" si="0"/>
        <v>12598.95323731628</v>
      </c>
      <c r="E19" s="85">
        <f t="shared" si="1"/>
        <v>0.17614909058328099</v>
      </c>
      <c r="F19" s="85">
        <f>C19/C18-1</f>
        <v>0.18767038046561502</v>
      </c>
      <c r="G19" s="85">
        <f>D19/D18-1</f>
        <v>0.1756710894377933</v>
      </c>
      <c r="H19" s="102">
        <f>F19-E19</f>
        <v>1.1521289882334029E-2</v>
      </c>
      <c r="I19" s="102">
        <f t="shared" si="2"/>
        <v>1.1999291027821712E-2</v>
      </c>
      <c r="J19" s="22">
        <f>'Table 1.3.1'!B20</f>
        <v>166</v>
      </c>
      <c r="K19" s="22">
        <f>'Table 1.1'!B19/1000</f>
        <v>6.6775854741839149</v>
      </c>
      <c r="L19" s="85">
        <f t="shared" si="3"/>
        <v>4.0226418519180213E-2</v>
      </c>
      <c r="M19" s="85">
        <f t="shared" si="4"/>
        <v>4.1655837074604081E-2</v>
      </c>
      <c r="N19" s="93"/>
    </row>
    <row r="20" spans="1:14" ht="12.75" customHeight="1">
      <c r="A20" s="342">
        <f>'Table 1.1'!A20</f>
        <v>1943</v>
      </c>
      <c r="B20" s="23">
        <f>'Table 1.1'!H20</f>
        <v>15153</v>
      </c>
      <c r="C20" s="60">
        <f>'Table 1.1'!J20</f>
        <v>615.68265859299072</v>
      </c>
      <c r="D20" s="60">
        <f t="shared" si="0"/>
        <v>14537.31734140701</v>
      </c>
      <c r="E20" s="85">
        <f t="shared" si="1"/>
        <v>0.15433838653157617</v>
      </c>
      <c r="F20" s="85">
        <f>C20/C19-1</f>
        <v>0.16596237701349525</v>
      </c>
      <c r="G20" s="85">
        <f>D20/D19-1</f>
        <v>0.15385120236414362</v>
      </c>
      <c r="H20" s="102">
        <f>F20-E20</f>
        <v>1.1623990481919089E-2</v>
      </c>
      <c r="I20" s="102">
        <f t="shared" si="2"/>
        <v>1.211117464935163E-2</v>
      </c>
      <c r="J20" s="22">
        <f>'Table 1.3.1'!B21</f>
        <v>203.1</v>
      </c>
      <c r="K20" s="22">
        <f>'Table 1.1'!B20/1000</f>
        <v>8.2529330781596038</v>
      </c>
      <c r="L20" s="85">
        <f t="shared" si="3"/>
        <v>4.0634825594089631E-2</v>
      </c>
      <c r="M20" s="85">
        <f t="shared" si="4"/>
        <v>4.2462199568077875E-2</v>
      </c>
      <c r="N20" s="93"/>
    </row>
    <row r="21" spans="1:14" ht="12.75" customHeight="1">
      <c r="A21" s="342">
        <f>'Table 1.1'!A21</f>
        <v>1944</v>
      </c>
      <c r="B21" s="23">
        <f>'Table 1.1'!H21</f>
        <v>16167</v>
      </c>
      <c r="C21" s="60">
        <f>'Table 1.1'!J21</f>
        <v>663.75507643193328</v>
      </c>
      <c r="D21" s="60">
        <f t="shared" si="0"/>
        <v>15503.244923568067</v>
      </c>
      <c r="E21" s="85">
        <f t="shared" si="1"/>
        <v>6.6917442090675072E-2</v>
      </c>
      <c r="F21" s="85">
        <f>C21/C20-1</f>
        <v>7.8079863332193966E-2</v>
      </c>
      <c r="G21" s="85">
        <f>D21/D20-1</f>
        <v>6.644469261256214E-2</v>
      </c>
      <c r="H21" s="102">
        <f>F21-E21</f>
        <v>1.1162421241518894E-2</v>
      </c>
      <c r="I21" s="102">
        <f t="shared" si="2"/>
        <v>1.1635170719631827E-2</v>
      </c>
      <c r="J21" s="22">
        <f>'Table 1.3.1'!B22</f>
        <v>224.6</v>
      </c>
      <c r="K21" s="22">
        <f>'Table 1.1'!B21/1000</f>
        <v>9.2192413473676886</v>
      </c>
      <c r="L21" s="85">
        <f t="shared" si="3"/>
        <v>4.1047379106712772E-2</v>
      </c>
      <c r="M21" s="85">
        <f t="shared" si="4"/>
        <v>4.4944570660841156E-2</v>
      </c>
      <c r="N21" s="93"/>
    </row>
    <row r="22" spans="1:14" ht="12.75" customHeight="1">
      <c r="A22" s="342">
        <f>'Table 1.1'!A22</f>
        <v>1945</v>
      </c>
      <c r="B22" s="23">
        <f>'Table 1.1'!H22</f>
        <v>15836</v>
      </c>
      <c r="C22" s="60">
        <f>'Table 1.1'!J22</f>
        <v>656.70869328535275</v>
      </c>
      <c r="D22" s="60">
        <f t="shared" si="0"/>
        <v>15179.291306714647</v>
      </c>
      <c r="E22" s="85">
        <f t="shared" si="1"/>
        <v>-2.0473804663821316E-2</v>
      </c>
      <c r="F22" s="85">
        <f>C22/C21-1</f>
        <v>-1.0615938614675358E-2</v>
      </c>
      <c r="G22" s="85">
        <f>D22/D21-1</f>
        <v>-2.0895858799272693E-2</v>
      </c>
      <c r="H22" s="102">
        <f>F22-E22</f>
        <v>9.857866049145958E-3</v>
      </c>
      <c r="I22" s="102">
        <f t="shared" si="2"/>
        <v>1.0279920184597335E-2</v>
      </c>
      <c r="J22" s="22">
        <f>'Table 1.3.1'!B23</f>
        <v>228.2</v>
      </c>
      <c r="K22" s="22">
        <f>'Table 1.1'!B22/1000</f>
        <v>9.4621124474843619</v>
      </c>
      <c r="L22" s="85">
        <f t="shared" si="3"/>
        <v>4.1464121154620344E-2</v>
      </c>
      <c r="M22" s="85">
        <f t="shared" si="4"/>
        <v>6.7464194476853784E-2</v>
      </c>
      <c r="N22" s="93"/>
    </row>
    <row r="23" spans="1:14" ht="12.75" customHeight="1">
      <c r="A23" s="342">
        <f>'Table 1.1'!A23</f>
        <v>1946</v>
      </c>
      <c r="B23" s="23">
        <f>'Table 1.1'!H23</f>
        <v>13856</v>
      </c>
      <c r="C23" s="60">
        <f>'Table 1.1'!J23</f>
        <v>580.30354487108889</v>
      </c>
      <c r="D23" s="60">
        <f t="shared" si="0"/>
        <v>13275.696455128911</v>
      </c>
      <c r="E23" s="85">
        <f t="shared" si="1"/>
        <v>-0.12503157362970452</v>
      </c>
      <c r="F23" s="85">
        <f>C23/C22-1</f>
        <v>-0.11634557178164895</v>
      </c>
      <c r="G23" s="85">
        <f>D23/D22-1</f>
        <v>-0.12540736014096188</v>
      </c>
      <c r="H23" s="102">
        <f>F23-E23</f>
        <v>8.686001848055569E-3</v>
      </c>
      <c r="I23" s="102">
        <f t="shared" si="2"/>
        <v>9.0617883593129278E-3</v>
      </c>
      <c r="J23" s="22">
        <f>'Table 1.3.1'!B24</f>
        <v>227.8</v>
      </c>
      <c r="K23" s="22">
        <f>'Table 1.1'!B23/1000</f>
        <v>9.5414244730629694</v>
      </c>
      <c r="L23" s="85">
        <f t="shared" si="3"/>
        <v>4.1885094262787394E-2</v>
      </c>
      <c r="M23" s="85">
        <f t="shared" si="4"/>
        <v>-0.19828006394653003</v>
      </c>
      <c r="N23" s="93"/>
    </row>
    <row r="24" spans="1:14" ht="12.75" customHeight="1">
      <c r="A24" s="342">
        <f>'Table 1.1'!A24</f>
        <v>1947</v>
      </c>
      <c r="B24" s="23">
        <f>'Table 1.1'!H24</f>
        <v>13444</v>
      </c>
      <c r="C24" s="60">
        <f>'Table 1.1'!J24</f>
        <v>568.69674396898654</v>
      </c>
      <c r="D24" s="60">
        <f t="shared" si="0"/>
        <v>12875.303256031013</v>
      </c>
      <c r="E24" s="85">
        <f t="shared" si="1"/>
        <v>-2.9734411085450385E-2</v>
      </c>
      <c r="F24" s="85">
        <f>C24/C23-1</f>
        <v>-2.0001257970396757E-2</v>
      </c>
      <c r="G24" s="85">
        <f>D24/D23-1</f>
        <v>-3.0159863962783695E-2</v>
      </c>
      <c r="H24" s="102">
        <f>F24-E24</f>
        <v>9.7331531150536277E-3</v>
      </c>
      <c r="I24" s="102">
        <f t="shared" si="2"/>
        <v>1.0158605992386938E-2</v>
      </c>
      <c r="J24" s="22">
        <f>'Table 1.3.1'!B25</f>
        <v>249.9</v>
      </c>
      <c r="K24" s="22">
        <f>'Table 1.1'!B24/1000</f>
        <v>10.573354312844366</v>
      </c>
      <c r="L24" s="85">
        <f t="shared" si="3"/>
        <v>4.2310341387932632E-2</v>
      </c>
      <c r="M24" s="85">
        <f t="shared" si="4"/>
        <v>4.669365790866048E-2</v>
      </c>
      <c r="N24" s="93"/>
    </row>
    <row r="25" spans="1:14" ht="12.75" customHeight="1">
      <c r="A25" s="342">
        <f>'Table 1.1'!A25</f>
        <v>1948</v>
      </c>
      <c r="B25" s="23">
        <f>'Table 1.1'!H25</f>
        <v>13762</v>
      </c>
      <c r="C25" s="60">
        <f>'Table 1.1'!J25</f>
        <v>540.71019372580929</v>
      </c>
      <c r="D25" s="60">
        <f t="shared" si="0"/>
        <v>13221.289806274192</v>
      </c>
      <c r="E25" s="85">
        <f t="shared" si="1"/>
        <v>2.3653674501636468E-2</v>
      </c>
      <c r="F25" s="85">
        <f>C25/C24-1</f>
        <v>-4.9211729344283861E-2</v>
      </c>
      <c r="G25" s="85">
        <f>D25/D24-1</f>
        <v>2.6872108824397056E-2</v>
      </c>
      <c r="H25" s="102">
        <f>F25-E25</f>
        <v>-7.2865403845920329E-2</v>
      </c>
      <c r="I25" s="102">
        <f t="shared" si="2"/>
        <v>-7.6083838168680917E-2</v>
      </c>
      <c r="J25" s="22">
        <f>'Table 1.3.1'!B26</f>
        <v>274.8</v>
      </c>
      <c r="K25" s="22">
        <f>'Table 1.1'!B25/1000</f>
        <v>10.797014470359361</v>
      </c>
      <c r="L25" s="85">
        <f t="shared" si="3"/>
        <v>3.929044567088559E-2</v>
      </c>
      <c r="M25" s="85">
        <f t="shared" si="4"/>
        <v>8.9823356431725059E-3</v>
      </c>
      <c r="N25" s="93"/>
    </row>
    <row r="26" spans="1:14" ht="12.75" customHeight="1">
      <c r="A26" s="342">
        <f>'Table 1.1'!A26</f>
        <v>1949</v>
      </c>
      <c r="B26" s="23">
        <f>'Table 1.1'!H26</f>
        <v>13453</v>
      </c>
      <c r="C26" s="60">
        <f>'Table 1.1'!J26</f>
        <v>580.74275800715395</v>
      </c>
      <c r="D26" s="60">
        <f t="shared" si="0"/>
        <v>12872.257241992846</v>
      </c>
      <c r="E26" s="85">
        <f t="shared" si="1"/>
        <v>-2.2453131812236626E-2</v>
      </c>
      <c r="F26" s="85">
        <f>C26/C25-1</f>
        <v>7.4037006784534398E-2</v>
      </c>
      <c r="G26" s="85">
        <f>D26/D25-1</f>
        <v>-2.6399282475126684E-2</v>
      </c>
      <c r="H26" s="102">
        <f>F26-E26</f>
        <v>9.6490138596771025E-2</v>
      </c>
      <c r="I26" s="102">
        <f t="shared" si="2"/>
        <v>0.10043628925966108</v>
      </c>
      <c r="J26" s="22">
        <f>'Table 1.3.1'!B27</f>
        <v>272.8</v>
      </c>
      <c r="K26" s="22">
        <f>'Table 1.1'!B26/1000</f>
        <v>11.777821288058798</v>
      </c>
      <c r="L26" s="85">
        <f t="shared" si="3"/>
        <v>4.3173831701095296E-2</v>
      </c>
      <c r="M26" s="85">
        <f t="shared" si="4"/>
        <v>-0.49040340884971823</v>
      </c>
      <c r="N26" s="93"/>
    </row>
    <row r="27" spans="1:14" ht="12.75" customHeight="1">
      <c r="A27" s="342">
        <f>'Table 1.1'!A27</f>
        <v>1950</v>
      </c>
      <c r="B27" s="23">
        <f>'Table 1.1'!H27</f>
        <v>14384</v>
      </c>
      <c r="C27" s="60">
        <f>'Table 1.1'!J27</f>
        <v>617.27986060034755</v>
      </c>
      <c r="D27" s="60">
        <f t="shared" si="0"/>
        <v>13766.720139399653</v>
      </c>
      <c r="E27" s="85">
        <f t="shared" si="1"/>
        <v>6.9203895041997976E-2</v>
      </c>
      <c r="F27" s="85">
        <f>C27/C26-1</f>
        <v>6.2914435159850068E-2</v>
      </c>
      <c r="G27" s="85">
        <f>D27/D26-1</f>
        <v>6.9487649336964941E-2</v>
      </c>
      <c r="H27" s="102">
        <f>F27-E27</f>
        <v>-6.2894598821479075E-3</v>
      </c>
      <c r="I27" s="102">
        <f t="shared" si="2"/>
        <v>-6.5732141771148722E-3</v>
      </c>
      <c r="J27" s="22">
        <f>'Table 1.3.1'!B28</f>
        <v>300.2</v>
      </c>
      <c r="K27" s="22">
        <f>'Table 1.1'!B27/1000</f>
        <v>12.882755109657955</v>
      </c>
      <c r="L27" s="85">
        <f t="shared" si="3"/>
        <v>4.2913907760352948E-2</v>
      </c>
      <c r="M27" s="85">
        <f t="shared" si="4"/>
        <v>4.0326051883180968E-2</v>
      </c>
      <c r="N27" s="93"/>
    </row>
    <row r="28" spans="1:14" ht="12.75" customHeight="1">
      <c r="A28" s="342">
        <f>'Table 1.1'!A28</f>
        <v>1951</v>
      </c>
      <c r="B28" s="23">
        <f>'Table 1.1'!H28</f>
        <v>15281</v>
      </c>
      <c r="C28" s="60">
        <f>'Table 1.1'!J28</f>
        <v>626.40347332422675</v>
      </c>
      <c r="D28" s="60">
        <f t="shared" si="0"/>
        <v>14654.596526675774</v>
      </c>
      <c r="E28" s="85">
        <f t="shared" si="1"/>
        <v>6.2360956618464858E-2</v>
      </c>
      <c r="F28" s="85">
        <f>C28/C27-1</f>
        <v>1.4780350544736587E-2</v>
      </c>
      <c r="G28" s="85">
        <f>D28/D27-1</f>
        <v>6.4494402318462374E-2</v>
      </c>
      <c r="H28" s="102">
        <f>F28-E28</f>
        <v>-4.7580606073728271E-2</v>
      </c>
      <c r="I28" s="102">
        <f t="shared" si="2"/>
        <v>-4.9714051773725787E-2</v>
      </c>
      <c r="J28" s="22">
        <f>'Table 1.3.1'!B29</f>
        <v>347.3</v>
      </c>
      <c r="K28" s="22">
        <f>'Table 1.1'!B28/1000</f>
        <v>14.235942939056557</v>
      </c>
      <c r="L28" s="85">
        <f t="shared" si="3"/>
        <v>4.0990333829705031E-2</v>
      </c>
      <c r="M28" s="85">
        <f t="shared" si="4"/>
        <v>2.873010253500214E-2</v>
      </c>
      <c r="N28" s="93"/>
    </row>
    <row r="29" spans="1:14" ht="12.75" customHeight="1">
      <c r="A29" s="342">
        <f>'Table 1.1'!A29</f>
        <v>1952</v>
      </c>
      <c r="B29" s="23">
        <f>'Table 1.1'!H29</f>
        <v>15633</v>
      </c>
      <c r="C29" s="60">
        <f>'Table 1.1'!J29</f>
        <v>648.32386740990682</v>
      </c>
      <c r="D29" s="60">
        <f t="shared" si="0"/>
        <v>14984.676132590093</v>
      </c>
      <c r="E29" s="85">
        <f t="shared" si="1"/>
        <v>2.3035141679209392E-2</v>
      </c>
      <c r="F29" s="85">
        <f>C29/C28-1</f>
        <v>3.4994049393359816E-2</v>
      </c>
      <c r="G29" s="85">
        <f>D29/D28-1</f>
        <v>2.2523964089592896E-2</v>
      </c>
      <c r="H29" s="102">
        <f>F29-E29</f>
        <v>1.1958907714150424E-2</v>
      </c>
      <c r="I29" s="102">
        <f t="shared" si="2"/>
        <v>1.247008530376692E-2</v>
      </c>
      <c r="J29" s="22">
        <f>'Table 1.3.1'!B30</f>
        <v>367.7</v>
      </c>
      <c r="K29" s="22">
        <f>'Table 1.1'!B29/1000</f>
        <v>15.249307659418214</v>
      </c>
      <c r="L29" s="85">
        <f t="shared" si="3"/>
        <v>4.1472144844759896E-2</v>
      </c>
      <c r="M29" s="85">
        <f t="shared" si="4"/>
        <v>4.9674741194198957E-2</v>
      </c>
      <c r="N29" s="93"/>
    </row>
    <row r="30" spans="1:14" ht="12.75" customHeight="1">
      <c r="A30" s="342">
        <f>'Table 1.1'!A30</f>
        <v>1953</v>
      </c>
      <c r="B30" s="23">
        <f>'Table 1.1'!H30</f>
        <v>16099</v>
      </c>
      <c r="C30" s="60">
        <f>'Table 1.1'!J30</f>
        <v>661.75504694715153</v>
      </c>
      <c r="D30" s="60">
        <f t="shared" si="0"/>
        <v>15437.244953052848</v>
      </c>
      <c r="E30" s="85">
        <f t="shared" si="1"/>
        <v>2.9808737926181772E-2</v>
      </c>
      <c r="F30" s="85">
        <f>C30/C29-1</f>
        <v>2.0716774767066681E-2</v>
      </c>
      <c r="G30" s="85">
        <f>D30/D29-1</f>
        <v>3.0202108905007741E-2</v>
      </c>
      <c r="H30" s="102">
        <f>F30-E30</f>
        <v>-9.0919631591150907E-3</v>
      </c>
      <c r="I30" s="102">
        <f t="shared" si="2"/>
        <v>-9.4853341379410594E-3</v>
      </c>
      <c r="J30" s="22">
        <f>'Table 1.3.1'!B31</f>
        <v>389.7</v>
      </c>
      <c r="K30" s="22">
        <f>'Table 1.1'!B30/1000</f>
        <v>16.019505544271404</v>
      </c>
      <c r="L30" s="85">
        <f t="shared" si="3"/>
        <v>4.1107276223431882E-2</v>
      </c>
      <c r="M30" s="85">
        <f t="shared" si="4"/>
        <v>3.5008994766054062E-2</v>
      </c>
      <c r="N30" s="93"/>
    </row>
    <row r="31" spans="1:14" ht="12.75" customHeight="1">
      <c r="A31" s="342">
        <f>'Table 1.1'!A31</f>
        <v>1954</v>
      </c>
      <c r="B31" s="23">
        <f>'Table 1.1'!H31</f>
        <v>15730</v>
      </c>
      <c r="C31" s="60">
        <f>'Table 1.1'!J31</f>
        <v>687.33369300996526</v>
      </c>
      <c r="D31" s="60">
        <f t="shared" si="0"/>
        <v>15042.666306990035</v>
      </c>
      <c r="E31" s="85">
        <f t="shared" si="1"/>
        <v>-2.2920678303000153E-2</v>
      </c>
      <c r="F31" s="85">
        <f>C31/C30-1</f>
        <v>3.865274043743927E-2</v>
      </c>
      <c r="G31" s="85">
        <f>D31/D30-1</f>
        <v>-2.556017263849808E-2</v>
      </c>
      <c r="H31" s="102">
        <f>F31-E31</f>
        <v>6.1573418740439423E-2</v>
      </c>
      <c r="I31" s="102">
        <f t="shared" si="2"/>
        <v>6.421291307593735E-2</v>
      </c>
      <c r="J31" s="22">
        <f>'Table 1.3.1'!B32</f>
        <v>391.1</v>
      </c>
      <c r="K31" s="22">
        <f>'Table 1.1'!B31/1000</f>
        <v>17.091881463208342</v>
      </c>
      <c r="L31" s="85">
        <f t="shared" si="3"/>
        <v>4.3702074822828792E-2</v>
      </c>
      <c r="M31" s="85">
        <f t="shared" si="4"/>
        <v>0.76598279924065149</v>
      </c>
      <c r="N31" s="93"/>
    </row>
    <row r="32" spans="1:14" ht="12.75" customHeight="1">
      <c r="A32" s="342">
        <f>'Table 1.1'!A32</f>
        <v>1955</v>
      </c>
      <c r="B32" s="23">
        <f>'Table 1.1'!H32</f>
        <v>16557</v>
      </c>
      <c r="C32" s="60">
        <f>'Table 1.1'!J32</f>
        <v>701.41509758507198</v>
      </c>
      <c r="D32" s="60">
        <f t="shared" si="0"/>
        <v>15855.584902414928</v>
      </c>
      <c r="E32" s="85">
        <f t="shared" si="1"/>
        <v>5.2574698029243416E-2</v>
      </c>
      <c r="F32" s="85">
        <f>C32/C31-1</f>
        <v>2.0486998845410165E-2</v>
      </c>
      <c r="G32" s="85">
        <f>D32/D31-1</f>
        <v>5.4040858105530498E-2</v>
      </c>
      <c r="H32" s="102">
        <f>F32-E32</f>
        <v>-3.2087699183833251E-2</v>
      </c>
      <c r="I32" s="102">
        <f t="shared" si="2"/>
        <v>-3.3553859260120333E-2</v>
      </c>
      <c r="J32" s="22">
        <f>'Table 1.3.1'!B33</f>
        <v>426.2</v>
      </c>
      <c r="K32" s="22">
        <f>'Table 1.1'!B32/1000</f>
        <v>18.054374460660277</v>
      </c>
      <c r="L32" s="85">
        <f t="shared" si="3"/>
        <v>4.2361272784280334E-2</v>
      </c>
      <c r="M32" s="85">
        <f t="shared" si="4"/>
        <v>2.7421452918858585E-2</v>
      </c>
      <c r="N32" s="93"/>
    </row>
    <row r="33" spans="1:14" ht="12.75" customHeight="1">
      <c r="A33" s="342">
        <f>'Table 1.1'!A33</f>
        <v>1956</v>
      </c>
      <c r="B33" s="23">
        <f>'Table 1.1'!H33</f>
        <v>16614</v>
      </c>
      <c r="C33" s="60">
        <f>'Table 1.1'!J33</f>
        <v>722.73488617671603</v>
      </c>
      <c r="D33" s="60">
        <f t="shared" si="0"/>
        <v>15891.265113823283</v>
      </c>
      <c r="E33" s="85">
        <f t="shared" si="1"/>
        <v>3.442652654466416E-3</v>
      </c>
      <c r="F33" s="85">
        <f>C33/C32-1</f>
        <v>3.0395394489007632E-2</v>
      </c>
      <c r="G33" s="85">
        <f>D33/D32-1</f>
        <v>2.2503245151757056E-3</v>
      </c>
      <c r="H33" s="102">
        <f>F33-E33</f>
        <v>2.6952741834541216E-2</v>
      </c>
      <c r="I33" s="102">
        <f t="shared" si="2"/>
        <v>2.8145069973831927E-2</v>
      </c>
      <c r="J33" s="22">
        <f>'Table 1.3.1'!B34</f>
        <v>450.1</v>
      </c>
      <c r="K33" s="22">
        <f>'Table 1.1'!B33/1000</f>
        <v>19.581543582410127</v>
      </c>
      <c r="L33" s="85">
        <f t="shared" si="3"/>
        <v>4.3504873544568154E-2</v>
      </c>
      <c r="M33" s="85">
        <f t="shared" si="4"/>
        <v>6.3898289612964343E-2</v>
      </c>
      <c r="N33" s="93"/>
    </row>
    <row r="34" spans="1:14" ht="12.75" customHeight="1">
      <c r="A34" s="342">
        <f>'Table 1.1'!A34</f>
        <v>1957</v>
      </c>
      <c r="B34" s="23">
        <f>'Table 1.1'!H34</f>
        <v>16661</v>
      </c>
      <c r="C34" s="60">
        <f>'Table 1.1'!J34</f>
        <v>753.49897607457319</v>
      </c>
      <c r="D34" s="60">
        <f t="shared" si="0"/>
        <v>15907.501023925426</v>
      </c>
      <c r="E34" s="85">
        <f t="shared" si="1"/>
        <v>2.8289394486578079E-3</v>
      </c>
      <c r="F34" s="85">
        <f>C34/C33-1</f>
        <v>4.2566216860790984E-2</v>
      </c>
      <c r="G34" s="85">
        <f>D34/D33-1</f>
        <v>1.0216876998685454E-3</v>
      </c>
      <c r="H34" s="102">
        <f>F34-E34</f>
        <v>3.9737277412133176E-2</v>
      </c>
      <c r="I34" s="102">
        <f t="shared" si="2"/>
        <v>4.1544529160922439E-2</v>
      </c>
      <c r="J34" s="22">
        <f>'Table 1.3.1'!B35</f>
        <v>474.9</v>
      </c>
      <c r="K34" s="22">
        <f>'Table 1.1'!B34/1000</f>
        <v>21.476006543568168</v>
      </c>
      <c r="L34" s="85">
        <f t="shared" si="3"/>
        <v>4.5222165810840535E-2</v>
      </c>
      <c r="M34" s="85">
        <f t="shared" si="4"/>
        <v>7.6389635530566311E-2</v>
      </c>
      <c r="N34" s="93"/>
    </row>
    <row r="35" spans="1:14" ht="12.75" customHeight="1">
      <c r="A35" s="342">
        <f>'Table 1.1'!A35</f>
        <v>1958</v>
      </c>
      <c r="B35" s="23">
        <f>'Table 1.1'!H35</f>
        <v>16266</v>
      </c>
      <c r="C35" s="60">
        <f>'Table 1.1'!J35</f>
        <v>784.41353509315968</v>
      </c>
      <c r="D35" s="60">
        <f t="shared" si="0"/>
        <v>15481.586464906841</v>
      </c>
      <c r="E35" s="85">
        <f t="shared" si="1"/>
        <v>-2.3708060740651793E-2</v>
      </c>
      <c r="F35" s="85">
        <f>C35/C34-1</f>
        <v>4.1028004018849318E-2</v>
      </c>
      <c r="G35" s="85">
        <f>D35/D34-1</f>
        <v>-2.6774448002737539E-2</v>
      </c>
      <c r="H35" s="102">
        <f>F35-E35</f>
        <v>6.4736064759501111E-2</v>
      </c>
      <c r="I35" s="102">
        <f t="shared" si="2"/>
        <v>6.7802452021586856E-2</v>
      </c>
      <c r="J35" s="22">
        <f>'Table 1.3.1'!B36</f>
        <v>482</v>
      </c>
      <c r="K35" s="22">
        <f>'Table 1.1'!B35/1000</f>
        <v>23.246342500826486</v>
      </c>
      <c r="L35" s="85">
        <f t="shared" si="3"/>
        <v>4.8228926350262422E-2</v>
      </c>
      <c r="M35" s="85">
        <f t="shared" si="4"/>
        <v>0.24934309257159332</v>
      </c>
      <c r="N35" s="93"/>
    </row>
    <row r="36" spans="1:14" ht="12.75" customHeight="1">
      <c r="A36" s="342">
        <f>'Table 1.1'!A36</f>
        <v>1959</v>
      </c>
      <c r="B36" s="23">
        <f>'Table 1.1'!H36</f>
        <v>17095</v>
      </c>
      <c r="C36" s="60">
        <f>'Table 1.1'!J36</f>
        <v>828.20908328082396</v>
      </c>
      <c r="D36" s="60">
        <f t="shared" si="0"/>
        <v>16266.790916719176</v>
      </c>
      <c r="E36" s="85">
        <f t="shared" si="1"/>
        <v>5.0965203491946331E-2</v>
      </c>
      <c r="F36" s="85">
        <f>C36/C35-1</f>
        <v>5.5832218884982687E-2</v>
      </c>
      <c r="G36" s="85">
        <f>D36/D35-1</f>
        <v>5.071860391001981E-2</v>
      </c>
      <c r="H36" s="102">
        <f>F36-E36</f>
        <v>4.8670153930363558E-3</v>
      </c>
      <c r="I36" s="102">
        <f t="shared" si="2"/>
        <v>5.1136149749628768E-3</v>
      </c>
      <c r="J36" s="22">
        <f>'Table 1.3.1'!B37</f>
        <v>522.5</v>
      </c>
      <c r="K36" s="22">
        <f>'Table 1.1'!B36/1000</f>
        <v>25.311734450961193</v>
      </c>
      <c r="L36" s="85">
        <f t="shared" si="3"/>
        <v>4.8443510910930514E-2</v>
      </c>
      <c r="M36" s="85">
        <f t="shared" si="4"/>
        <v>5.0997332102091529E-2</v>
      </c>
      <c r="N36" s="93"/>
    </row>
    <row r="37" spans="1:14" ht="12.75" customHeight="1">
      <c r="A37" s="342">
        <f>'Table 1.1'!A37</f>
        <v>1960</v>
      </c>
      <c r="B37" s="23">
        <f>'Table 1.1'!H37</f>
        <v>17182</v>
      </c>
      <c r="C37" s="60">
        <f>'Table 1.1'!J37</f>
        <v>865.23402709802053</v>
      </c>
      <c r="D37" s="60">
        <f t="shared" si="0"/>
        <v>16316.76597290198</v>
      </c>
      <c r="E37" s="85">
        <f t="shared" si="1"/>
        <v>5.0892073705761653E-3</v>
      </c>
      <c r="F37" s="85">
        <f>C37/C36-1</f>
        <v>4.4704827035376038E-2</v>
      </c>
      <c r="G37" s="85">
        <f>D37/D36-1</f>
        <v>3.0722135938587858E-3</v>
      </c>
      <c r="H37" s="102">
        <f>F37-E37</f>
        <v>3.9615619664799873E-2</v>
      </c>
      <c r="I37" s="102">
        <f t="shared" si="2"/>
        <v>4.1632613441517252E-2</v>
      </c>
      <c r="J37" s="22">
        <f>'Table 1.3.1'!B38</f>
        <v>543.29999999999995</v>
      </c>
      <c r="K37" s="22">
        <f>'Table 1.1'!B37/1000</f>
        <v>27.359000000000002</v>
      </c>
      <c r="L37" s="85">
        <f t="shared" si="3"/>
        <v>5.0357077121295793E-2</v>
      </c>
      <c r="M37" s="85">
        <f t="shared" si="4"/>
        <v>9.8426228319173706E-2</v>
      </c>
      <c r="N37" s="93"/>
    </row>
    <row r="38" spans="1:14" ht="12.75" customHeight="1">
      <c r="A38" s="342">
        <f>'Table 1.1'!A38</f>
        <v>1961</v>
      </c>
      <c r="B38" s="23">
        <f>'Table 1.1'!H38</f>
        <v>17335</v>
      </c>
      <c r="C38" s="60">
        <f>'Table 1.1'!J38</f>
        <v>899.44766214279844</v>
      </c>
      <c r="D38" s="60">
        <f t="shared" si="0"/>
        <v>16435.552337857203</v>
      </c>
      <c r="E38" s="85">
        <f t="shared" si="1"/>
        <v>8.9046676754742649E-3</v>
      </c>
      <c r="F38" s="85">
        <f>C38/C37-1</f>
        <v>3.9542636989820856E-2</v>
      </c>
      <c r="G38" s="85">
        <f>D38/D37-1</f>
        <v>7.280018917504627E-3</v>
      </c>
      <c r="H38" s="102">
        <f>F38-E38</f>
        <v>3.0637969314346591E-2</v>
      </c>
      <c r="I38" s="102">
        <f t="shared" si="2"/>
        <v>3.2262618072316229E-2</v>
      </c>
      <c r="J38" s="22">
        <f>'Table 1.3.1'!B39</f>
        <v>563.29999999999995</v>
      </c>
      <c r="K38" s="22">
        <f>'Table 1.1'!B38/1000</f>
        <v>29.228999999999999</v>
      </c>
      <c r="L38" s="85">
        <f t="shared" si="3"/>
        <v>5.188886916385585E-2</v>
      </c>
      <c r="M38" s="85">
        <f t="shared" si="4"/>
        <v>9.3499999999999875E-2</v>
      </c>
      <c r="N38" s="93"/>
    </row>
    <row r="39" spans="1:14" ht="12.75" customHeight="1">
      <c r="A39" s="342">
        <f>'Table 1.1'!A39</f>
        <v>1962</v>
      </c>
      <c r="B39" s="23">
        <f>'Table 1.1'!H39</f>
        <v>18114</v>
      </c>
      <c r="C39" s="60">
        <f>'Table 1.1'!J39</f>
        <v>955.15047493627765</v>
      </c>
      <c r="D39" s="60">
        <f t="shared" si="0"/>
        <v>17158.849525063721</v>
      </c>
      <c r="E39" s="85">
        <f t="shared" si="1"/>
        <v>4.4937986732044966E-2</v>
      </c>
      <c r="F39" s="85">
        <f>C39/C38-1</f>
        <v>6.1930021209656294E-2</v>
      </c>
      <c r="G39" s="85">
        <f>D39/D38-1</f>
        <v>4.4008085176455713E-2</v>
      </c>
      <c r="H39" s="102">
        <f>F39-E39</f>
        <v>1.6992034477611329E-2</v>
      </c>
      <c r="I39" s="102">
        <f t="shared" si="2"/>
        <v>1.7921936033200581E-2</v>
      </c>
      <c r="J39" s="22">
        <f>'Table 1.3.1'!B40</f>
        <v>605.1</v>
      </c>
      <c r="K39" s="22">
        <f>'Table 1.1'!B39/1000</f>
        <v>31.907</v>
      </c>
      <c r="L39" s="85">
        <f t="shared" si="3"/>
        <v>5.2730127251693931E-2</v>
      </c>
      <c r="M39" s="85">
        <f t="shared" si="4"/>
        <v>6.4066985645932925E-2</v>
      </c>
      <c r="N39" s="93"/>
    </row>
    <row r="40" spans="1:14" ht="12.75" customHeight="1">
      <c r="A40" s="342">
        <f>'Table 1.1'!A40</f>
        <v>1963</v>
      </c>
      <c r="B40" s="23">
        <f>'Table 1.1'!H40</f>
        <v>18632</v>
      </c>
      <c r="C40" s="60">
        <f>'Table 1.1'!J40</f>
        <v>1013.2535265246327</v>
      </c>
      <c r="D40" s="60">
        <f t="shared" si="0"/>
        <v>17618.746473475367</v>
      </c>
      <c r="E40" s="85">
        <f t="shared" si="1"/>
        <v>2.8596665562548251E-2</v>
      </c>
      <c r="F40" s="85">
        <f>C40/C39-1</f>
        <v>6.0831306807685337E-2</v>
      </c>
      <c r="G40" s="85">
        <f>D40/D39-1</f>
        <v>2.680231840368319E-2</v>
      </c>
      <c r="H40" s="102">
        <f>F40-E40</f>
        <v>3.2234641245137086E-2</v>
      </c>
      <c r="I40" s="102">
        <f t="shared" si="2"/>
        <v>3.4028988404002147E-2</v>
      </c>
      <c r="J40" s="22">
        <f>'Table 1.3.1'!B41</f>
        <v>638.6</v>
      </c>
      <c r="K40" s="22">
        <f>'Table 1.1'!B40/1000</f>
        <v>34.726999999999997</v>
      </c>
      <c r="L40" s="85">
        <f t="shared" si="3"/>
        <v>5.4379893517068581E-2</v>
      </c>
      <c r="M40" s="85">
        <f t="shared" si="4"/>
        <v>8.4179104477611844E-2</v>
      </c>
      <c r="N40" s="93"/>
    </row>
    <row r="41" spans="1:14" ht="12.75" customHeight="1">
      <c r="A41" s="342">
        <f>'Table 1.1'!A41</f>
        <v>1964</v>
      </c>
      <c r="B41" s="23">
        <f>'Table 1.1'!H41</f>
        <v>19437</v>
      </c>
      <c r="C41" s="60">
        <f>'Table 1.1'!J41</f>
        <v>1092.4569213623929</v>
      </c>
      <c r="D41" s="60">
        <f t="shared" si="0"/>
        <v>18344.543078637606</v>
      </c>
      <c r="E41" s="85">
        <f t="shared" si="1"/>
        <v>4.3205238299699467E-2</v>
      </c>
      <c r="F41" s="85">
        <f>C41/C40-1</f>
        <v>7.8167401113737656E-2</v>
      </c>
      <c r="G41" s="85">
        <f>D41/D40-1</f>
        <v>4.119456547348066E-2</v>
      </c>
      <c r="H41" s="102">
        <f>F41-E41</f>
        <v>3.4962162814038189E-2</v>
      </c>
      <c r="I41" s="102">
        <f t="shared" si="2"/>
        <v>3.6972835640256996E-2</v>
      </c>
      <c r="J41" s="22">
        <f>'Table 1.3.1'!B42</f>
        <v>685.8</v>
      </c>
      <c r="K41" s="22">
        <f>'Table 1.1'!B41/1000</f>
        <v>38.543999999999997</v>
      </c>
      <c r="L41" s="85">
        <f t="shared" si="3"/>
        <v>5.6202974628171476E-2</v>
      </c>
      <c r="M41" s="85">
        <f t="shared" si="4"/>
        <v>8.086864406779673E-2</v>
      </c>
      <c r="N41" s="93"/>
    </row>
    <row r="42" spans="1:14" ht="12.75" customHeight="1">
      <c r="A42" s="342">
        <f>'Table 1.1'!A42</f>
        <v>1965</v>
      </c>
      <c r="B42" s="23">
        <f>'Table 1.1'!H42</f>
        <v>20442</v>
      </c>
      <c r="C42" s="60">
        <f>'Table 1.1'!J42</f>
        <v>1153.2427745438495</v>
      </c>
      <c r="D42" s="60">
        <f t="shared" si="0"/>
        <v>19288.757225456149</v>
      </c>
      <c r="E42" s="85">
        <f t="shared" si="1"/>
        <v>5.1705510109584907E-2</v>
      </c>
      <c r="F42" s="85">
        <f>C42/C41-1</f>
        <v>5.5641418890596706E-2</v>
      </c>
      <c r="G42" s="85">
        <f>D42/D41-1</f>
        <v>5.1471118292288676E-2</v>
      </c>
      <c r="H42" s="102">
        <f>F42-E42</f>
        <v>3.9359087810117988E-3</v>
      </c>
      <c r="I42" s="102">
        <f t="shared" si="2"/>
        <v>4.1703005983080299E-3</v>
      </c>
      <c r="J42" s="22">
        <f>'Table 1.3.1'!B43</f>
        <v>743.7</v>
      </c>
      <c r="K42" s="22">
        <f>'Table 1.1'!B42/1000</f>
        <v>41.957000000000001</v>
      </c>
      <c r="L42" s="85">
        <f t="shared" si="3"/>
        <v>5.6416565819550894E-2</v>
      </c>
      <c r="M42" s="85">
        <f t="shared" si="4"/>
        <v>5.8946459412780629E-2</v>
      </c>
      <c r="N42" s="93"/>
    </row>
    <row r="43" spans="1:14" ht="12.75" customHeight="1">
      <c r="A43" s="342">
        <f>'Table 1.1'!A43</f>
        <v>1966</v>
      </c>
      <c r="B43" s="23">
        <f>'Table 1.1'!H43</f>
        <v>21541</v>
      </c>
      <c r="C43" s="60">
        <f>'Table 1.1'!J43</f>
        <v>1222.4398815713437</v>
      </c>
      <c r="D43" s="60">
        <f t="shared" si="0"/>
        <v>20318.560118428657</v>
      </c>
      <c r="E43" s="85">
        <f t="shared" si="1"/>
        <v>5.3761862831425589E-2</v>
      </c>
      <c r="F43" s="85">
        <f>C43/C42-1</f>
        <v>6.0002202966209062E-2</v>
      </c>
      <c r="G43" s="85">
        <f>D43/D42-1</f>
        <v>5.3388763253935156E-2</v>
      </c>
      <c r="H43" s="102">
        <f>F43-E43</f>
        <v>6.240340134783473E-3</v>
      </c>
      <c r="I43" s="102">
        <f t="shared" si="2"/>
        <v>6.6134397122739053E-3</v>
      </c>
      <c r="J43" s="22">
        <f>'Table 1.3.1'!B44</f>
        <v>815</v>
      </c>
      <c r="K43" s="22">
        <f>'Table 1.1'!B43/1000</f>
        <v>46.253999999999998</v>
      </c>
      <c r="L43" s="85">
        <f t="shared" si="3"/>
        <v>5.6753374233128831E-2</v>
      </c>
      <c r="M43" s="85">
        <f t="shared" si="4"/>
        <v>6.0266479663394108E-2</v>
      </c>
      <c r="N43" s="93"/>
    </row>
    <row r="44" spans="1:14" ht="12.75" customHeight="1">
      <c r="A44" s="342">
        <f>'Table 1.1'!A44</f>
        <v>1967</v>
      </c>
      <c r="B44" s="23">
        <f>'Table 1.1'!H44</f>
        <v>21893</v>
      </c>
      <c r="C44" s="60">
        <f>'Table 1.1'!J44</f>
        <v>1315.4540784889023</v>
      </c>
      <c r="D44" s="60">
        <f t="shared" si="0"/>
        <v>20577.545921511097</v>
      </c>
      <c r="E44" s="85">
        <f t="shared" si="1"/>
        <v>1.6340931247388779E-2</v>
      </c>
      <c r="F44" s="85">
        <f>C44/C43-1</f>
        <v>7.6088974451648861E-2</v>
      </c>
      <c r="G44" s="85">
        <f>D44/D43-1</f>
        <v>1.2746267529436972E-2</v>
      </c>
      <c r="H44" s="102">
        <f>F44-E44</f>
        <v>5.9748043204260082E-2</v>
      </c>
      <c r="I44" s="102">
        <f t="shared" si="2"/>
        <v>6.3342706922211889E-2</v>
      </c>
      <c r="J44" s="22">
        <f>'Table 1.3.1'!B45</f>
        <v>861.7</v>
      </c>
      <c r="K44" s="22">
        <f>'Table 1.1'!B44/1000</f>
        <v>51.78</v>
      </c>
      <c r="L44" s="85">
        <f t="shared" si="3"/>
        <v>6.0090518742021586E-2</v>
      </c>
      <c r="M44" s="85">
        <f t="shared" si="4"/>
        <v>0.11832976445396141</v>
      </c>
      <c r="N44" s="93"/>
    </row>
    <row r="45" spans="1:14" ht="12.75" customHeight="1">
      <c r="A45" s="342">
        <f>'Table 1.1'!A45</f>
        <v>1968</v>
      </c>
      <c r="B45" s="23">
        <f>'Table 1.1'!H45</f>
        <v>22739</v>
      </c>
      <c r="C45" s="60">
        <f>'Table 1.1'!J45</f>
        <v>1417.5655025370497</v>
      </c>
      <c r="D45" s="60">
        <f t="shared" si="0"/>
        <v>21321.434497462949</v>
      </c>
      <c r="E45" s="85">
        <f t="shared" si="1"/>
        <v>3.8642488466633207E-2</v>
      </c>
      <c r="F45" s="85">
        <f>C45/C44-1</f>
        <v>7.7624468780731259E-2</v>
      </c>
      <c r="G45" s="85">
        <f>D45/D44-1</f>
        <v>3.6150500102843486E-2</v>
      </c>
      <c r="H45" s="102">
        <f>F45-E45</f>
        <v>3.8981980314098053E-2</v>
      </c>
      <c r="I45" s="102">
        <f t="shared" si="2"/>
        <v>4.1473968677887774E-2</v>
      </c>
      <c r="J45" s="22">
        <f>'Table 1.3.1'!B46</f>
        <v>942.5</v>
      </c>
      <c r="K45" s="22">
        <f>'Table 1.1'!B45/1000</f>
        <v>58.755000000000003</v>
      </c>
      <c r="L45" s="85">
        <f t="shared" si="3"/>
        <v>6.2339522546419099E-2</v>
      </c>
      <c r="M45" s="85">
        <f t="shared" si="4"/>
        <v>8.6324257425742637E-2</v>
      </c>
      <c r="N45" s="93"/>
    </row>
    <row r="46" spans="1:14" ht="12.75" customHeight="1">
      <c r="A46" s="342">
        <f>'Table 1.1'!A46</f>
        <v>1969</v>
      </c>
      <c r="B46" s="23">
        <f>'Table 1.1'!H46</f>
        <v>23222</v>
      </c>
      <c r="C46" s="60">
        <f>'Table 1.1'!J46</f>
        <v>1507.6721415354982</v>
      </c>
      <c r="D46" s="60">
        <f t="shared" si="0"/>
        <v>21714.327858464501</v>
      </c>
      <c r="E46" s="85">
        <f t="shared" si="1"/>
        <v>2.1241039623554281E-2</v>
      </c>
      <c r="F46" s="85">
        <f>C46/C45-1</f>
        <v>6.3564356523337029E-2</v>
      </c>
      <c r="G46" s="85">
        <f>D46/D45-1</f>
        <v>1.8427154188349837E-2</v>
      </c>
      <c r="H46" s="102">
        <f>F46-E46</f>
        <v>4.2323316899782748E-2</v>
      </c>
      <c r="I46" s="102">
        <f t="shared" si="2"/>
        <v>4.5137202334987192E-2</v>
      </c>
      <c r="J46" s="22">
        <f>'Table 1.3.1'!B47</f>
        <v>1019.9</v>
      </c>
      <c r="K46" s="22">
        <f>'Table 1.1'!B46/1000</f>
        <v>66.215000000000003</v>
      </c>
      <c r="L46" s="85">
        <f t="shared" si="3"/>
        <v>6.492303166977155E-2</v>
      </c>
      <c r="M46" s="85">
        <f t="shared" si="4"/>
        <v>9.6382428940568518E-2</v>
      </c>
      <c r="N46" s="93"/>
    </row>
    <row r="47" spans="1:14" ht="12.75" customHeight="1">
      <c r="A47" s="342">
        <f>'Table 1.1'!A47</f>
        <v>1970</v>
      </c>
      <c r="B47" s="23">
        <f>'Table 1.1'!H47</f>
        <v>23003</v>
      </c>
      <c r="C47" s="60">
        <f>'Table 1.1'!J47</f>
        <v>1600.4303067106885</v>
      </c>
      <c r="D47" s="60">
        <f t="shared" si="0"/>
        <v>21402.569693289312</v>
      </c>
      <c r="E47" s="85">
        <f t="shared" si="1"/>
        <v>-9.4307122556196443E-3</v>
      </c>
      <c r="F47" s="85">
        <f>C47/C46-1</f>
        <v>6.1524095736570583E-2</v>
      </c>
      <c r="G47" s="85">
        <f>D47/D46-1</f>
        <v>-1.4357256057256351E-2</v>
      </c>
      <c r="H47" s="102">
        <f>F47-E47</f>
        <v>7.0954807992190227E-2</v>
      </c>
      <c r="I47" s="102">
        <f t="shared" si="2"/>
        <v>7.5881351793826934E-2</v>
      </c>
      <c r="J47" s="22">
        <f>'Table 1.3.1'!B48</f>
        <v>1075.9000000000001</v>
      </c>
      <c r="K47" s="22">
        <f>'Table 1.1'!B47/1000</f>
        <v>74.852999999999994</v>
      </c>
      <c r="L47" s="85">
        <f t="shared" si="3"/>
        <v>6.9572450971279842E-2</v>
      </c>
      <c r="M47" s="85">
        <f t="shared" si="4"/>
        <v>0.15424999999999953</v>
      </c>
      <c r="N47" s="93"/>
    </row>
    <row r="48" spans="1:14" ht="12.75" customHeight="1">
      <c r="A48" s="342">
        <f>'Table 1.1'!A48</f>
        <v>1971</v>
      </c>
      <c r="B48" s="23">
        <f>'Table 1.1'!H48</f>
        <v>23463</v>
      </c>
      <c r="C48" s="60">
        <f>'Table 1.1'!J48</f>
        <v>1672.4494197208091</v>
      </c>
      <c r="D48" s="60">
        <f t="shared" si="0"/>
        <v>21790.550580279192</v>
      </c>
      <c r="E48" s="85">
        <f t="shared" si="1"/>
        <v>1.9997391644568152E-2</v>
      </c>
      <c r="F48" s="85">
        <f>C48/C47-1</f>
        <v>4.4999843297231168E-2</v>
      </c>
      <c r="G48" s="85">
        <f>D48/D47-1</f>
        <v>1.812777122326259E-2</v>
      </c>
      <c r="H48" s="102">
        <f>F48-E48</f>
        <v>2.5002451652663016E-2</v>
      </c>
      <c r="I48" s="102">
        <f t="shared" si="2"/>
        <v>2.6872072073968578E-2</v>
      </c>
      <c r="J48" s="22">
        <f>'Table 1.3.1'!B49</f>
        <v>1167.8</v>
      </c>
      <c r="K48" s="22">
        <f>'Table 1.1'!B48/1000</f>
        <v>83.24</v>
      </c>
      <c r="L48" s="85">
        <f t="shared" si="3"/>
        <v>7.1279328652166463E-2</v>
      </c>
      <c r="M48" s="85">
        <f t="shared" si="4"/>
        <v>9.1262241566920713E-2</v>
      </c>
      <c r="N48" s="93"/>
    </row>
    <row r="49" spans="1:14" ht="12.75" customHeight="1">
      <c r="A49" s="342">
        <f>'Table 1.1'!A49</f>
        <v>1972</v>
      </c>
      <c r="B49" s="23">
        <f>'Table 1.1'!H49</f>
        <v>24432</v>
      </c>
      <c r="C49" s="60">
        <f>'Table 1.1'!J49</f>
        <v>1774.4016982316464</v>
      </c>
      <c r="D49" s="60">
        <f t="shared" si="0"/>
        <v>22657.598301768354</v>
      </c>
      <c r="E49" s="85">
        <f t="shared" si="1"/>
        <v>4.1299066615522406E-2</v>
      </c>
      <c r="F49" s="85">
        <f>C49/C48-1</f>
        <v>6.0959857624786506E-2</v>
      </c>
      <c r="G49" s="85">
        <f>D49/D48-1</f>
        <v>3.9790078653352268E-2</v>
      </c>
      <c r="H49" s="102">
        <f>F49-E49</f>
        <v>1.96607910092641E-2</v>
      </c>
      <c r="I49" s="102">
        <f t="shared" si="2"/>
        <v>2.1169778971434239E-2</v>
      </c>
      <c r="J49" s="22">
        <f>'Table 1.3.1'!B50</f>
        <v>1282.4000000000001</v>
      </c>
      <c r="K49" s="22">
        <f>'Table 1.1'!B49/1000</f>
        <v>93.141000000000005</v>
      </c>
      <c r="L49" s="85">
        <f t="shared" si="3"/>
        <v>7.2630224578914535E-2</v>
      </c>
      <c r="M49" s="85">
        <f t="shared" si="4"/>
        <v>8.6396160558464205E-2</v>
      </c>
      <c r="N49" s="93"/>
    </row>
    <row r="50" spans="1:14" ht="12.75" customHeight="1">
      <c r="A50" s="342">
        <f>'Table 1.1'!A50</f>
        <v>1973</v>
      </c>
      <c r="B50" s="23">
        <f>'Table 1.1'!H50</f>
        <v>25565</v>
      </c>
      <c r="C50" s="60">
        <f>'Table 1.1'!J50</f>
        <v>1849.7727629545684</v>
      </c>
      <c r="D50" s="60">
        <f t="shared" si="0"/>
        <v>23715.22723704543</v>
      </c>
      <c r="E50" s="85">
        <f t="shared" si="1"/>
        <v>4.6373608382449305E-2</v>
      </c>
      <c r="F50" s="85">
        <f>C50/C49-1</f>
        <v>4.2476889420268282E-2</v>
      </c>
      <c r="G50" s="85">
        <f>D50/D49-1</f>
        <v>4.6678775093057068E-2</v>
      </c>
      <c r="H50" s="102">
        <f>F50-E50</f>
        <v>-3.8967189621810228E-3</v>
      </c>
      <c r="I50" s="102">
        <f t="shared" si="2"/>
        <v>-4.2018856727887854E-3</v>
      </c>
      <c r="J50" s="22">
        <f>'Table 1.3.1'!B51</f>
        <v>1428.5</v>
      </c>
      <c r="K50" s="22">
        <f>'Table 1.1'!B50/1000</f>
        <v>103.36499999999999</v>
      </c>
      <c r="L50" s="85">
        <f t="shared" si="3"/>
        <v>7.2359117955897792E-2</v>
      </c>
      <c r="M50" s="85">
        <f t="shared" si="4"/>
        <v>6.9979466119096487E-2</v>
      </c>
      <c r="N50" s="93"/>
    </row>
    <row r="51" spans="1:14" ht="12.75" customHeight="1">
      <c r="A51" s="342">
        <f>'Table 1.1'!A51</f>
        <v>1974</v>
      </c>
      <c r="B51" s="23">
        <f>'Table 1.1'!H51</f>
        <v>25200</v>
      </c>
      <c r="C51" s="60">
        <f>'Table 1.1'!J51</f>
        <v>1906.1866826089129</v>
      </c>
      <c r="D51" s="60">
        <f t="shared" si="0"/>
        <v>23293.813317391086</v>
      </c>
      <c r="E51" s="85">
        <f t="shared" si="1"/>
        <v>-1.427733229024053E-2</v>
      </c>
      <c r="F51" s="85">
        <f>C51/C50-1</f>
        <v>3.0497756688900868E-2</v>
      </c>
      <c r="G51" s="85">
        <f>D51/D50-1</f>
        <v>-1.7769760982768723E-2</v>
      </c>
      <c r="H51" s="102">
        <f>F51-E51</f>
        <v>4.4775088979141398E-2</v>
      </c>
      <c r="I51" s="102">
        <f t="shared" si="2"/>
        <v>4.8267517671669591E-2</v>
      </c>
      <c r="J51" s="22">
        <f>'Table 1.3.1'!B52</f>
        <v>1548.8</v>
      </c>
      <c r="K51" s="22">
        <f>'Table 1.1'!B51/1000</f>
        <v>117.157</v>
      </c>
      <c r="L51" s="85">
        <f t="shared" si="3"/>
        <v>7.5643724173553722E-2</v>
      </c>
      <c r="M51" s="85">
        <f t="shared" si="4"/>
        <v>0.11464671654197844</v>
      </c>
      <c r="N51" s="93"/>
    </row>
    <row r="52" spans="1:14" ht="12.75" customHeight="1">
      <c r="A52" s="342">
        <f>'Table 1.1'!A52</f>
        <v>1975</v>
      </c>
      <c r="B52" s="23">
        <f>'Table 1.1'!H52</f>
        <v>24907</v>
      </c>
      <c r="C52" s="60">
        <f>'Table 1.1'!J52</f>
        <v>1970.0700094688052</v>
      </c>
      <c r="D52" s="60">
        <f t="shared" si="0"/>
        <v>22936.929990531196</v>
      </c>
      <c r="E52" s="85">
        <f t="shared" si="1"/>
        <v>-1.1626984126984152E-2</v>
      </c>
      <c r="F52" s="85">
        <f>C52/C51-1</f>
        <v>3.3513678089733601E-2</v>
      </c>
      <c r="G52" s="85">
        <f>D52/D51-1</f>
        <v>-1.5320949043299947E-2</v>
      </c>
      <c r="H52" s="102">
        <f>F52-E52</f>
        <v>4.5140662216717753E-2</v>
      </c>
      <c r="I52" s="102">
        <f t="shared" si="2"/>
        <v>4.8834627133033548E-2</v>
      </c>
      <c r="J52" s="22">
        <f>'Table 1.3.1'!B53</f>
        <v>1688.9</v>
      </c>
      <c r="K52" s="22">
        <f>'Table 1.1'!B52/1000</f>
        <v>133.58500000000001</v>
      </c>
      <c r="L52" s="85">
        <f t="shared" si="3"/>
        <v>7.9095861211439397E-2</v>
      </c>
      <c r="M52" s="85">
        <f t="shared" si="4"/>
        <v>0.11725910064239825</v>
      </c>
      <c r="N52" s="93"/>
    </row>
    <row r="53" spans="1:14" ht="12.75" customHeight="1">
      <c r="A53" s="342">
        <f>'Table 1.1'!A53</f>
        <v>1976</v>
      </c>
      <c r="B53" s="23">
        <f>'Table 1.1'!H53</f>
        <v>25996</v>
      </c>
      <c r="C53" s="60">
        <f>'Table 1.1'!J53</f>
        <v>2118.4472349719908</v>
      </c>
      <c r="D53" s="60">
        <f t="shared" si="0"/>
        <v>23877.552765028009</v>
      </c>
      <c r="E53" s="85">
        <f t="shared" si="1"/>
        <v>4.3722648251495633E-2</v>
      </c>
      <c r="F53" s="85">
        <f>C53/C52-1</f>
        <v>7.5315712025479264E-2</v>
      </c>
      <c r="G53" s="85">
        <f>D53/D52-1</f>
        <v>4.1009096460821848E-2</v>
      </c>
      <c r="H53" s="102">
        <f>F53-E53</f>
        <v>3.1593063773983632E-2</v>
      </c>
      <c r="I53" s="102">
        <f t="shared" si="2"/>
        <v>3.4306615564657417E-2</v>
      </c>
      <c r="J53" s="22">
        <f>'Table 1.3.1'!B54</f>
        <v>1877.6</v>
      </c>
      <c r="K53" s="22">
        <f>'Table 1.1'!B53/1000</f>
        <v>153.011</v>
      </c>
      <c r="L53" s="85">
        <f t="shared" si="3"/>
        <v>8.1492863229654877E-2</v>
      </c>
      <c r="M53" s="85">
        <f t="shared" si="4"/>
        <v>0.10294647588765239</v>
      </c>
      <c r="N53" s="93"/>
    </row>
    <row r="54" spans="1:14" ht="12.75" customHeight="1">
      <c r="A54" s="342">
        <f>'Table 1.1'!A54</f>
        <v>1977</v>
      </c>
      <c r="B54" s="23">
        <f>'Table 1.1'!H54</f>
        <v>26922</v>
      </c>
      <c r="C54" s="60">
        <f>'Table 1.1'!J54</f>
        <v>2245.4045935341596</v>
      </c>
      <c r="D54" s="60">
        <f t="shared" si="0"/>
        <v>24676.59540646584</v>
      </c>
      <c r="E54" s="85">
        <f t="shared" si="1"/>
        <v>3.5620864748422854E-2</v>
      </c>
      <c r="F54" s="85">
        <f>C54/C53-1</f>
        <v>5.9929440991645544E-2</v>
      </c>
      <c r="G54" s="85">
        <f>D54/D53-1</f>
        <v>3.3464176555318526E-2</v>
      </c>
      <c r="H54" s="102">
        <f>F54-E54</f>
        <v>2.430857624322269E-2</v>
      </c>
      <c r="I54" s="102">
        <f t="shared" si="2"/>
        <v>2.6465264436327018E-2</v>
      </c>
      <c r="J54" s="22">
        <f>'Table 1.3.1'!B55</f>
        <v>2086</v>
      </c>
      <c r="K54" s="22">
        <f>'Table 1.1'!B54/1000</f>
        <v>173.97900000000001</v>
      </c>
      <c r="L54" s="85">
        <f t="shared" si="3"/>
        <v>8.3403163950143827E-2</v>
      </c>
      <c r="M54" s="85">
        <f t="shared" si="4"/>
        <v>0.10061420345489447</v>
      </c>
      <c r="N54" s="93"/>
    </row>
    <row r="55" spans="1:14" ht="12.75" customHeight="1">
      <c r="A55" s="342">
        <f>'Table 1.1'!A55</f>
        <v>1978</v>
      </c>
      <c r="B55" s="23">
        <f>'Table 1.1'!H55</f>
        <v>28120</v>
      </c>
      <c r="C55" s="60">
        <f>'Table 1.1'!J55</f>
        <v>2333.1517940181716</v>
      </c>
      <c r="D55" s="60">
        <f t="shared" si="0"/>
        <v>25786.848205981827</v>
      </c>
      <c r="E55" s="85">
        <f t="shared" si="1"/>
        <v>4.4498922814055319E-2</v>
      </c>
      <c r="F55" s="85">
        <f>C55/C54-1</f>
        <v>3.9078569954246856E-2</v>
      </c>
      <c r="G55" s="85">
        <f>D55/D54-1</f>
        <v>4.4992138551863459E-2</v>
      </c>
      <c r="H55" s="102">
        <f>F55-E55</f>
        <v>-5.4203528598084638E-3</v>
      </c>
      <c r="I55" s="102">
        <f t="shared" si="2"/>
        <v>-5.913568597616603E-3</v>
      </c>
      <c r="J55" s="22">
        <f>'Table 1.3.1'!B56</f>
        <v>2356.6</v>
      </c>
      <c r="K55" s="22">
        <f>'Table 1.1'!B55/1000</f>
        <v>195.52799999999999</v>
      </c>
      <c r="L55" s="85">
        <f t="shared" si="3"/>
        <v>8.2970381057455661E-2</v>
      </c>
      <c r="M55" s="85">
        <f t="shared" si="4"/>
        <v>7.963414634146336E-2</v>
      </c>
      <c r="N55" s="93"/>
    </row>
    <row r="56" spans="1:14" ht="12.75" customHeight="1">
      <c r="A56" s="342">
        <f>'Table 1.1'!A56</f>
        <v>1979</v>
      </c>
      <c r="B56" s="23">
        <f>'Table 1.1'!H56</f>
        <v>28694</v>
      </c>
      <c r="C56" s="60">
        <f>'Table 1.1'!J56</f>
        <v>2416.3994396859198</v>
      </c>
      <c r="D56" s="60">
        <f t="shared" si="0"/>
        <v>26277.60056031408</v>
      </c>
      <c r="E56" s="85">
        <f t="shared" si="1"/>
        <v>2.0412517780938888E-2</v>
      </c>
      <c r="F56" s="85">
        <f>C56/C55-1</f>
        <v>3.5680338450837956E-2</v>
      </c>
      <c r="G56" s="85">
        <f>D56/D55-1</f>
        <v>1.903111037115468E-2</v>
      </c>
      <c r="H56" s="102">
        <f>F56-E56</f>
        <v>1.5267820669899068E-2</v>
      </c>
      <c r="I56" s="102">
        <f t="shared" si="2"/>
        <v>1.6649228079683276E-2</v>
      </c>
      <c r="J56" s="22">
        <f>'Table 1.3.1'!B57</f>
        <v>2632.1</v>
      </c>
      <c r="K56" s="22">
        <f>'Table 1.1'!B56/1000</f>
        <v>221.65799999999999</v>
      </c>
      <c r="L56" s="85">
        <f t="shared" si="3"/>
        <v>8.4213365753580793E-2</v>
      </c>
      <c r="M56" s="85">
        <f t="shared" si="4"/>
        <v>9.484573502722321E-2</v>
      </c>
      <c r="N56" s="93"/>
    </row>
    <row r="57" spans="1:14" ht="12.75" customHeight="1">
      <c r="A57" s="342">
        <f>'Table 1.1'!A57</f>
        <v>1980</v>
      </c>
      <c r="B57" s="23">
        <f>'Table 1.1'!H57</f>
        <v>28295</v>
      </c>
      <c r="C57" s="60">
        <f>'Table 1.1'!J57</f>
        <v>2528.3274530804188</v>
      </c>
      <c r="D57" s="60">
        <f t="shared" si="0"/>
        <v>25766.672546919581</v>
      </c>
      <c r="E57" s="85">
        <f t="shared" si="1"/>
        <v>-1.390534606537952E-2</v>
      </c>
      <c r="F57" s="85">
        <f>C57/C56-1</f>
        <v>4.6320161955114125E-2</v>
      </c>
      <c r="G57" s="85">
        <f>D57/D56-1</f>
        <v>-1.9443480473865349E-2</v>
      </c>
      <c r="H57" s="102">
        <f>F57-E57</f>
        <v>6.0225508020493645E-2</v>
      </c>
      <c r="I57" s="102">
        <f t="shared" si="2"/>
        <v>6.5763642428979474E-2</v>
      </c>
      <c r="J57" s="22">
        <f>'Table 1.3.1'!B58</f>
        <v>2862.5</v>
      </c>
      <c r="K57" s="22">
        <f>'Table 1.1'!B57/1000</f>
        <v>255.78399999999999</v>
      </c>
      <c r="L57" s="85">
        <f t="shared" si="3"/>
        <v>8.9356855895196499E-2</v>
      </c>
      <c r="M57" s="85">
        <f t="shared" si="4"/>
        <v>0.14811631944444439</v>
      </c>
      <c r="N57" s="93"/>
    </row>
    <row r="58" spans="1:14" ht="12.75" customHeight="1">
      <c r="A58" s="342">
        <f>'Table 1.1'!A58</f>
        <v>1981</v>
      </c>
      <c r="B58" s="23">
        <f>'Table 1.1'!H58</f>
        <v>28741</v>
      </c>
      <c r="C58" s="60">
        <f>'Table 1.1'!J58</f>
        <v>2656.107822027268</v>
      </c>
      <c r="D58" s="60">
        <f t="shared" si="0"/>
        <v>26084.892177972732</v>
      </c>
      <c r="E58" s="85">
        <f t="shared" si="1"/>
        <v>1.5762502208870766E-2</v>
      </c>
      <c r="F58" s="85">
        <f>C58/C57-1</f>
        <v>5.0539485615744173E-2</v>
      </c>
      <c r="G58" s="85">
        <f>D58/D57-1</f>
        <v>1.235004754586333E-2</v>
      </c>
      <c r="H58" s="102">
        <f>F58-E58</f>
        <v>3.4776983406873407E-2</v>
      </c>
      <c r="I58" s="102">
        <f t="shared" si="2"/>
        <v>3.8189438069880843E-2</v>
      </c>
      <c r="J58" s="22">
        <f>'Table 1.3.1'!B59</f>
        <v>3210.9</v>
      </c>
      <c r="K58" s="22">
        <f>'Table 1.1'!B58/1000</f>
        <v>296.73899999999998</v>
      </c>
      <c r="L58" s="85">
        <f t="shared" si="3"/>
        <v>9.241614500607305E-2</v>
      </c>
      <c r="M58" s="85">
        <f t="shared" si="4"/>
        <v>0.11755166475315722</v>
      </c>
      <c r="N58" s="93"/>
    </row>
    <row r="59" spans="1:14" ht="12.75" customHeight="1">
      <c r="A59" s="342">
        <f>'Table 1.1'!A59</f>
        <v>1982</v>
      </c>
      <c r="B59" s="23">
        <f>'Table 1.1'!H59</f>
        <v>27923</v>
      </c>
      <c r="C59" s="60">
        <f>'Table 1.1'!J59</f>
        <v>2794.0017941174738</v>
      </c>
      <c r="D59" s="60">
        <f t="shared" si="0"/>
        <v>25128.998205882526</v>
      </c>
      <c r="E59" s="85">
        <f t="shared" si="1"/>
        <v>-2.8461083469607851E-2</v>
      </c>
      <c r="F59" s="85">
        <f>C59/C58-1</f>
        <v>5.1915803623121981E-2</v>
      </c>
      <c r="G59" s="85">
        <f>D59/D58-1</f>
        <v>-3.6645502138490937E-2</v>
      </c>
      <c r="H59" s="102">
        <f>F59-E59</f>
        <v>8.0376887092729832E-2</v>
      </c>
      <c r="I59" s="102">
        <f t="shared" si="2"/>
        <v>8.8561305761612918E-2</v>
      </c>
      <c r="J59" s="22">
        <f>'Table 1.3.1'!B60</f>
        <v>3345</v>
      </c>
      <c r="K59" s="22">
        <f>'Table 1.1'!B59/1000</f>
        <v>334.69900000000001</v>
      </c>
      <c r="L59" s="85">
        <f t="shared" si="3"/>
        <v>0.1000594917787743</v>
      </c>
      <c r="M59" s="85">
        <f t="shared" si="4"/>
        <v>0.28307233407904597</v>
      </c>
      <c r="N59" s="93"/>
    </row>
    <row r="60" spans="1:14" ht="12.75" customHeight="1">
      <c r="A60" s="342">
        <f>'Table 1.1'!A60</f>
        <v>1983</v>
      </c>
      <c r="B60" s="23">
        <f>'Table 1.1'!H60</f>
        <v>28953</v>
      </c>
      <c r="C60" s="60">
        <f>'Table 1.1'!J60</f>
        <v>2936.476337465504</v>
      </c>
      <c r="D60" s="60">
        <f t="shared" si="0"/>
        <v>26016.523662534495</v>
      </c>
      <c r="E60" s="85">
        <f t="shared" si="1"/>
        <v>3.6887153959101804E-2</v>
      </c>
      <c r="F60" s="85">
        <f>C60/C59-1</f>
        <v>5.099300352920233E-2</v>
      </c>
      <c r="G60" s="85">
        <f>D60/D59-1</f>
        <v>3.5318775916988399E-2</v>
      </c>
      <c r="H60" s="102">
        <f>F60-E60</f>
        <v>1.4105849570100526E-2</v>
      </c>
      <c r="I60" s="102">
        <f t="shared" si="2"/>
        <v>1.5674227612213931E-2</v>
      </c>
      <c r="J60" s="22">
        <f>'Table 1.3.1'!B61</f>
        <v>3638.1</v>
      </c>
      <c r="K60" s="22">
        <f>'Table 1.1'!B60/1000</f>
        <v>368.98700000000002</v>
      </c>
      <c r="L60" s="85">
        <f t="shared" si="3"/>
        <v>0.10142299551963938</v>
      </c>
      <c r="M60" s="85">
        <f t="shared" si="4"/>
        <v>0.11698396451722969</v>
      </c>
      <c r="N60" s="93"/>
    </row>
    <row r="61" spans="1:14" ht="12.75" customHeight="1">
      <c r="A61" s="342">
        <f>'Table 1.1'!A61</f>
        <v>1984</v>
      </c>
      <c r="B61" s="23">
        <f>'Table 1.1'!H61</f>
        <v>30784</v>
      </c>
      <c r="C61" s="60">
        <f>'Table 1.1'!J61</f>
        <v>3097.050975691393</v>
      </c>
      <c r="D61" s="60">
        <f t="shared" si="0"/>
        <v>27686.949024308607</v>
      </c>
      <c r="E61" s="85">
        <f t="shared" si="1"/>
        <v>6.3240424135668105E-2</v>
      </c>
      <c r="F61" s="85">
        <f>C61/C60-1</f>
        <v>5.4682762526355733E-2</v>
      </c>
      <c r="G61" s="85">
        <f>D61/D60-1</f>
        <v>6.4206324543645055E-2</v>
      </c>
      <c r="H61" s="102">
        <f>F61-E61</f>
        <v>-8.5576616093123725E-3</v>
      </c>
      <c r="I61" s="102">
        <f t="shared" si="2"/>
        <v>-9.5235620172893221E-3</v>
      </c>
      <c r="J61" s="22">
        <f>'Table 1.3.1'!B62</f>
        <v>4040.7</v>
      </c>
      <c r="K61" s="22">
        <f>'Table 1.1'!B61/1000</f>
        <v>406.512</v>
      </c>
      <c r="L61" s="85">
        <f t="shared" si="3"/>
        <v>0.10060435073130894</v>
      </c>
      <c r="M61" s="85">
        <f t="shared" si="4"/>
        <v>9.3206656731246854E-2</v>
      </c>
      <c r="N61" s="93"/>
    </row>
    <row r="62" spans="1:14" ht="12.75" customHeight="1">
      <c r="A62" s="342">
        <f>'Table 1.1'!A62</f>
        <v>1985</v>
      </c>
      <c r="B62" s="23">
        <f>'Table 1.1'!H62</f>
        <v>31805</v>
      </c>
      <c r="C62" s="60">
        <f>'Table 1.1'!J62</f>
        <v>3253.1806740253837</v>
      </c>
      <c r="D62" s="60">
        <f t="shared" si="0"/>
        <v>28551.819325974615</v>
      </c>
      <c r="E62" s="85">
        <f t="shared" si="1"/>
        <v>3.3166580041580129E-2</v>
      </c>
      <c r="F62" s="85">
        <f>C62/C61-1</f>
        <v>5.0412376018168725E-2</v>
      </c>
      <c r="G62" s="85">
        <f>D62/D61-1</f>
        <v>3.1237472243932363E-2</v>
      </c>
      <c r="H62" s="102">
        <f>F62-E62</f>
        <v>1.7245795976588596E-2</v>
      </c>
      <c r="I62" s="102">
        <f t="shared" si="2"/>
        <v>1.9174903774236363E-2</v>
      </c>
      <c r="J62" s="22">
        <f>'Table 1.3.1'!B63</f>
        <v>4346.7</v>
      </c>
      <c r="K62" s="22">
        <f>'Table 1.1'!B62/1000</f>
        <v>444.608</v>
      </c>
      <c r="L62" s="85">
        <f t="shared" si="3"/>
        <v>0.10228633216002946</v>
      </c>
      <c r="M62" s="85">
        <f t="shared" si="4"/>
        <v>0.12449673202614381</v>
      </c>
      <c r="N62" s="93"/>
    </row>
    <row r="63" spans="1:14" ht="12.75" customHeight="1">
      <c r="A63" s="342">
        <f>'Table 1.1'!A63</f>
        <v>1986</v>
      </c>
      <c r="B63" s="23">
        <f>'Table 1.1'!H63</f>
        <v>32624</v>
      </c>
      <c r="C63" s="60">
        <f>'Table 1.1'!J63</f>
        <v>3389.4612095241537</v>
      </c>
      <c r="D63" s="60">
        <f t="shared" si="0"/>
        <v>29234.538790475846</v>
      </c>
      <c r="E63" s="85">
        <f t="shared" si="1"/>
        <v>2.5750668133941224E-2</v>
      </c>
      <c r="F63" s="85">
        <f>C63/C62-1</f>
        <v>4.1891474576522869E-2</v>
      </c>
      <c r="G63" s="85">
        <f>D63/D62-1</f>
        <v>2.391159234746687E-2</v>
      </c>
      <c r="H63" s="102">
        <f>F63-E63</f>
        <v>1.6140806442581646E-2</v>
      </c>
      <c r="I63" s="102">
        <f t="shared" si="2"/>
        <v>1.7979882229055999E-2</v>
      </c>
      <c r="J63" s="22">
        <f>'Table 1.3.1'!B64</f>
        <v>4590.1000000000004</v>
      </c>
      <c r="K63" s="22">
        <f>'Table 1.1'!B63/1000</f>
        <v>476.892</v>
      </c>
      <c r="L63" s="85">
        <f t="shared" si="3"/>
        <v>0.1038957756911614</v>
      </c>
      <c r="M63" s="85">
        <f t="shared" si="4"/>
        <v>0.1326376335250613</v>
      </c>
      <c r="N63" s="93"/>
    </row>
    <row r="64" spans="1:14" ht="16.5" customHeight="1">
      <c r="A64" s="342">
        <f>'Table 1.1'!A64</f>
        <v>1987</v>
      </c>
      <c r="B64" s="23">
        <f>'Table 1.1'!H64</f>
        <v>33453</v>
      </c>
      <c r="C64" s="60">
        <f>'Table 1.1'!J64</f>
        <v>3565.8060614684277</v>
      </c>
      <c r="D64" s="60">
        <f t="shared" si="0"/>
        <v>29887.193938531571</v>
      </c>
      <c r="E64" s="85">
        <f t="shared" si="1"/>
        <v>2.5410740559097533E-2</v>
      </c>
      <c r="F64" s="85">
        <f>C64/C63-1</f>
        <v>5.2027399354433346E-2</v>
      </c>
      <c r="G64" s="85">
        <f>D64/D63-1</f>
        <v>2.2324797142630137E-2</v>
      </c>
      <c r="H64" s="102">
        <f>F64-E64</f>
        <v>2.6616658795335812E-2</v>
      </c>
      <c r="I64" s="102">
        <f t="shared" si="2"/>
        <v>2.9702602211803208E-2</v>
      </c>
      <c r="J64" s="22">
        <f>'Table 1.3.1'!B65</f>
        <v>4870.2</v>
      </c>
      <c r="K64" s="22">
        <f>'Table 1.1'!B64/1000</f>
        <v>519.11699999999996</v>
      </c>
      <c r="L64" s="85">
        <f t="shared" si="3"/>
        <v>0.10659048909695699</v>
      </c>
      <c r="M64" s="85">
        <f t="shared" si="4"/>
        <v>0.15074973223848642</v>
      </c>
      <c r="N64" s="93"/>
    </row>
    <row r="65" spans="1:14" ht="12.75" customHeight="1">
      <c r="A65" s="342">
        <f>'Table 1.1'!A65</f>
        <v>1988</v>
      </c>
      <c r="B65" s="23">
        <f>'Table 1.1'!H65</f>
        <v>34544</v>
      </c>
      <c r="C65" s="60">
        <f>'Table 1.1'!J65</f>
        <v>3825.5649682691856</v>
      </c>
      <c r="D65" s="60">
        <f t="shared" si="0"/>
        <v>30718.435031730813</v>
      </c>
      <c r="E65" s="85">
        <f t="shared" si="1"/>
        <v>3.261291961856938E-2</v>
      </c>
      <c r="F65" s="85">
        <f>C65/C64-1</f>
        <v>7.2847177418781772E-2</v>
      </c>
      <c r="G65" s="85">
        <f>D65/D64-1</f>
        <v>2.7812617501289605E-2</v>
      </c>
      <c r="H65" s="102">
        <f>F65-E65</f>
        <v>4.0234257800212392E-2</v>
      </c>
      <c r="I65" s="102">
        <f t="shared" si="2"/>
        <v>4.5034559917492167E-2</v>
      </c>
      <c r="J65" s="22">
        <f>'Table 1.3.1'!B66</f>
        <v>5252.6</v>
      </c>
      <c r="K65" s="22">
        <f>'Table 1.1'!B65/1000</f>
        <v>581.69799999999998</v>
      </c>
      <c r="L65" s="85">
        <f t="shared" si="3"/>
        <v>0.11074477401667744</v>
      </c>
      <c r="M65" s="85">
        <f t="shared" si="4"/>
        <v>0.16365324267782408</v>
      </c>
      <c r="N65" s="93"/>
    </row>
    <row r="66" spans="1:14" ht="12.75" customHeight="1">
      <c r="A66" s="342">
        <f>'Table 1.1'!A66</f>
        <v>1989</v>
      </c>
      <c r="B66" s="23">
        <f>'Table 1.1'!H66</f>
        <v>35479</v>
      </c>
      <c r="C66" s="60">
        <f>'Table 1.1'!J66</f>
        <v>4060.2158432602787</v>
      </c>
      <c r="D66" s="60">
        <f t="shared" si="0"/>
        <v>31418.784156739723</v>
      </c>
      <c r="E66" s="85">
        <f t="shared" si="1"/>
        <v>2.7066929133858331E-2</v>
      </c>
      <c r="F66" s="85">
        <f>C66/C65-1</f>
        <v>6.1337574172020126E-2</v>
      </c>
      <c r="G66" s="85">
        <f>D66/D65-1</f>
        <v>2.2798984527873323E-2</v>
      </c>
      <c r="H66" s="102">
        <f>F66-E66</f>
        <v>3.4270645038161796E-2</v>
      </c>
      <c r="I66" s="102">
        <f t="shared" si="2"/>
        <v>3.8538589644146803E-2</v>
      </c>
      <c r="J66" s="22">
        <f>'Table 1.3.1'!B67</f>
        <v>5657.7</v>
      </c>
      <c r="K66" s="22">
        <f>'Table 1.1'!B66/1000</f>
        <v>647.46500000000003</v>
      </c>
      <c r="L66" s="85">
        <f t="shared" si="3"/>
        <v>0.11443961327041025</v>
      </c>
      <c r="M66" s="85">
        <f t="shared" si="4"/>
        <v>0.16234756850160489</v>
      </c>
      <c r="N66" s="93"/>
    </row>
    <row r="67" spans="1:14" ht="12.75" customHeight="1">
      <c r="A67" s="342">
        <f>'Table 1.1'!A67</f>
        <v>1990</v>
      </c>
      <c r="B67" s="23">
        <f>'Table 1.1'!H67</f>
        <v>35756</v>
      </c>
      <c r="C67" s="60">
        <f>'Table 1.1'!J67</f>
        <v>4330.9387514547252</v>
      </c>
      <c r="D67" s="60">
        <f t="shared" si="0"/>
        <v>31425.061248545273</v>
      </c>
      <c r="E67" s="85">
        <f t="shared" si="1"/>
        <v>7.8074353843118338E-3</v>
      </c>
      <c r="F67" s="85">
        <f>C67/C66-1</f>
        <v>6.6676974487410723E-2</v>
      </c>
      <c r="G67" s="85">
        <f>D67/D66-1</f>
        <v>1.9978786493579648E-4</v>
      </c>
      <c r="H67" s="102">
        <f>F67-E67</f>
        <v>5.8869539103098889E-2</v>
      </c>
      <c r="I67" s="102">
        <f t="shared" si="2"/>
        <v>6.6477186622474926E-2</v>
      </c>
      <c r="J67" s="22">
        <f>'Table 1.3.1'!B68</f>
        <v>5979.6</v>
      </c>
      <c r="K67" s="22">
        <f>'Table 1.1'!B67/1000</f>
        <v>724.27800000000002</v>
      </c>
      <c r="L67" s="85">
        <f t="shared" si="3"/>
        <v>0.12112482440297009</v>
      </c>
      <c r="M67" s="85">
        <f t="shared" si="4"/>
        <v>0.23862379621000265</v>
      </c>
      <c r="N67" s="93"/>
    </row>
    <row r="68" spans="1:14" ht="12.75" customHeight="1">
      <c r="A68" s="342">
        <f>'Table 1.1'!A68</f>
        <v>1991</v>
      </c>
      <c r="B68" s="23">
        <f>'Table 1.1'!H68</f>
        <v>35258</v>
      </c>
      <c r="C68" s="60">
        <f>'Table 1.1'!J68</f>
        <v>4520.1423479270716</v>
      </c>
      <c r="D68" s="60">
        <f t="shared" si="0"/>
        <v>30737.857652072929</v>
      </c>
      <c r="E68" s="85">
        <f t="shared" si="1"/>
        <v>-1.3927732408546833E-2</v>
      </c>
      <c r="F68" s="85">
        <f>C68/C67-1</f>
        <v>4.368650939909835E-2</v>
      </c>
      <c r="G68" s="85">
        <f>D68/D67-1</f>
        <v>-2.1868011363196826E-2</v>
      </c>
      <c r="H68" s="102">
        <f>F68-E68</f>
        <v>5.7614241807645183E-2</v>
      </c>
      <c r="I68" s="102">
        <f t="shared" si="2"/>
        <v>6.5554520762295176E-2</v>
      </c>
      <c r="J68" s="22">
        <f>'Table 1.3.1'!B69</f>
        <v>6174</v>
      </c>
      <c r="K68" s="22">
        <f>'Table 1.1'!B68/1000</f>
        <v>791.52499999999998</v>
      </c>
      <c r="L68" s="85">
        <f t="shared" si="3"/>
        <v>0.12820294784580499</v>
      </c>
      <c r="M68" s="85">
        <f t="shared" si="4"/>
        <v>0.34592078189300457</v>
      </c>
      <c r="N68" s="93"/>
    </row>
    <row r="69" spans="1:14" ht="12.75" customHeight="1">
      <c r="A69" s="342">
        <f>'Table 1.1'!A69</f>
        <v>1992</v>
      </c>
      <c r="B69" s="23">
        <f>'Table 1.1'!H69</f>
        <v>36029</v>
      </c>
      <c r="C69" s="60">
        <f>'Table 1.1'!J69</f>
        <v>4726.7774407805637</v>
      </c>
      <c r="D69" s="60">
        <f t="shared" si="0"/>
        <v>31302.222559219437</v>
      </c>
      <c r="E69" s="85">
        <f t="shared" si="1"/>
        <v>2.1867377616427541E-2</v>
      </c>
      <c r="F69" s="85">
        <f>C69/C68-1</f>
        <v>4.5714288831690153E-2</v>
      </c>
      <c r="G69" s="85">
        <f>D69/D68-1</f>
        <v>1.8360580413073979E-2</v>
      </c>
      <c r="H69" s="102">
        <f>F69-E69</f>
        <v>2.3846911215262612E-2</v>
      </c>
      <c r="I69" s="102">
        <f t="shared" si="2"/>
        <v>2.7353708418616174E-2</v>
      </c>
      <c r="J69" s="22">
        <f>'Table 1.3.1'!B70</f>
        <v>6539.3</v>
      </c>
      <c r="K69" s="22">
        <f>'Table 1.1'!B69/1000</f>
        <v>857.91</v>
      </c>
      <c r="L69" s="85">
        <f t="shared" si="3"/>
        <v>0.13119294114048904</v>
      </c>
      <c r="M69" s="85">
        <f t="shared" si="4"/>
        <v>0.18172734738571025</v>
      </c>
      <c r="N69" s="93"/>
    </row>
    <row r="70" spans="1:14" ht="12.75" customHeight="1">
      <c r="A70" s="342">
        <f>'Table 1.1'!A70</f>
        <v>1993</v>
      </c>
      <c r="B70" s="23">
        <f>'Table 1.1'!H70</f>
        <v>36540</v>
      </c>
      <c r="C70" s="60">
        <f>'Table 1.1'!J70</f>
        <v>4895.070958866113</v>
      </c>
      <c r="D70" s="60">
        <f t="shared" si="0"/>
        <v>31644.929041133888</v>
      </c>
      <c r="E70" s="85">
        <f t="shared" si="1"/>
        <v>1.4183019234505601E-2</v>
      </c>
      <c r="F70" s="85">
        <f>C70/C69-1</f>
        <v>3.56042822396474E-2</v>
      </c>
      <c r="G70" s="85">
        <f>D70/D69-1</f>
        <v>1.094831145827091E-2</v>
      </c>
      <c r="H70" s="102">
        <f>F70-E70</f>
        <v>2.14212630051418E-2</v>
      </c>
      <c r="I70" s="102">
        <f t="shared" si="2"/>
        <v>2.4655970781376491E-2</v>
      </c>
      <c r="J70" s="22">
        <f>'Table 1.3.1'!B71</f>
        <v>6878.7</v>
      </c>
      <c r="K70" s="22">
        <f>'Table 1.1'!B70/1000</f>
        <v>921.49199999999996</v>
      </c>
      <c r="L70" s="85">
        <f t="shared" si="3"/>
        <v>0.13396310349339263</v>
      </c>
      <c r="M70" s="85">
        <f t="shared" si="4"/>
        <v>0.18733647613435492</v>
      </c>
      <c r="N70" s="93"/>
    </row>
    <row r="71" spans="1:14" ht="12.75" customHeight="1">
      <c r="A71" s="342">
        <f>'Table 1.1'!A71</f>
        <v>1994</v>
      </c>
      <c r="B71" s="23">
        <f>'Table 1.1'!H71</f>
        <v>37557</v>
      </c>
      <c r="C71" s="60">
        <f>'Table 1.1'!J71</f>
        <v>4998.3649688771002</v>
      </c>
      <c r="D71" s="60">
        <f t="shared" ref="D71:D98" si="5">B71-C71</f>
        <v>32558.6350311229</v>
      </c>
      <c r="E71" s="85">
        <f t="shared" si="1"/>
        <v>2.7832512315270952E-2</v>
      </c>
      <c r="F71" s="85">
        <f>C71/C70-1</f>
        <v>2.1101636907611576E-2</v>
      </c>
      <c r="G71" s="85">
        <f>D71/D70-1</f>
        <v>2.8873693753628693E-2</v>
      </c>
      <c r="H71" s="102">
        <f>F71-E71</f>
        <v>-6.7308754076593758E-3</v>
      </c>
      <c r="I71" s="102">
        <f t="shared" si="2"/>
        <v>-7.7720568460171169E-3</v>
      </c>
      <c r="J71" s="22">
        <f>'Table 1.3.1'!B72</f>
        <v>7308.7</v>
      </c>
      <c r="K71" s="22">
        <f>'Table 1.1'!B71/1000</f>
        <v>972.68700000000001</v>
      </c>
      <c r="L71" s="85">
        <f t="shared" si="3"/>
        <v>0.1330861849576532</v>
      </c>
      <c r="M71" s="85">
        <f t="shared" si="4"/>
        <v>0.11905813953488384</v>
      </c>
      <c r="N71" s="93"/>
    </row>
    <row r="72" spans="1:14" ht="12.75" customHeight="1">
      <c r="A72" s="342">
        <f>'Table 1.1'!A72</f>
        <v>1995</v>
      </c>
      <c r="B72" s="23">
        <f>'Table 1.1'!H72</f>
        <v>38125</v>
      </c>
      <c r="C72" s="60">
        <f>'Table 1.1'!J72</f>
        <v>5111.0083177001206</v>
      </c>
      <c r="D72" s="60">
        <f t="shared" si="5"/>
        <v>33013.991682299878</v>
      </c>
      <c r="E72" s="85">
        <f t="shared" ref="E72:E80" si="6">B72/B71-1</f>
        <v>1.5123678675080576E-2</v>
      </c>
      <c r="F72" s="85">
        <f>C72/C71-1</f>
        <v>2.2536039189696488E-2</v>
      </c>
      <c r="G72" s="85">
        <f>D72/D71-1</f>
        <v>1.3985741439765498E-2</v>
      </c>
      <c r="H72" s="102">
        <f>F72-E72</f>
        <v>7.4123605146159122E-3</v>
      </c>
      <c r="I72" s="102">
        <f t="shared" ref="I72:I98" si="7">F72-G72</f>
        <v>8.5502977499309907E-3</v>
      </c>
      <c r="J72" s="22">
        <f>'Table 1.3.1'!B73</f>
        <v>7664</v>
      </c>
      <c r="K72" s="22">
        <f>'Table 1.1'!B72/1000</f>
        <v>1027.432</v>
      </c>
      <c r="L72" s="85">
        <f t="shared" ref="L72:L98" si="8">K72/J72</f>
        <v>0.13405949895615868</v>
      </c>
      <c r="M72" s="85">
        <f t="shared" ref="M72:M98" si="9">(K72-K71)/(J72-J71)</f>
        <v>0.15408105826062476</v>
      </c>
      <c r="N72" s="93"/>
    </row>
    <row r="73" spans="1:14" ht="12.75" customHeight="1">
      <c r="A73" s="342">
        <f>'Table 1.1'!A73</f>
        <v>1996</v>
      </c>
      <c r="B73" s="23">
        <f>'Table 1.1'!H73</f>
        <v>39114</v>
      </c>
      <c r="C73" s="60">
        <f>'Table 1.1'!J73</f>
        <v>5223.9388142184262</v>
      </c>
      <c r="D73" s="60">
        <f t="shared" si="5"/>
        <v>33890.061185781575</v>
      </c>
      <c r="E73" s="85">
        <f t="shared" si="6"/>
        <v>2.5940983606557388E-2</v>
      </c>
      <c r="F73" s="85">
        <f>C73/C72-1</f>
        <v>2.2095541524988604E-2</v>
      </c>
      <c r="G73" s="85">
        <f>D73/D72-1</f>
        <v>2.6536309571780548E-2</v>
      </c>
      <c r="H73" s="102">
        <f>F73-E73</f>
        <v>-3.845442081568784E-3</v>
      </c>
      <c r="I73" s="102">
        <f t="shared" si="7"/>
        <v>-4.440768046791943E-3</v>
      </c>
      <c r="J73" s="22">
        <f>'Table 1.3.1'!B74</f>
        <v>8100.2</v>
      </c>
      <c r="K73" s="22">
        <f>'Table 1.1'!B73/1000</f>
        <v>1081.8489999999999</v>
      </c>
      <c r="L73" s="85">
        <f t="shared" si="8"/>
        <v>0.13355830720229131</v>
      </c>
      <c r="M73" s="85">
        <f t="shared" si="9"/>
        <v>0.12475240715268211</v>
      </c>
      <c r="N73" s="93"/>
    </row>
    <row r="74" spans="1:14" ht="12.75" customHeight="1">
      <c r="A74" s="342">
        <f>'Table 1.1'!A74</f>
        <v>1997</v>
      </c>
      <c r="B74" s="23">
        <f>'Table 1.1'!H74</f>
        <v>40383</v>
      </c>
      <c r="C74" s="60">
        <f>'Table 1.1'!J74</f>
        <v>5360.1579069706968</v>
      </c>
      <c r="D74" s="60">
        <f t="shared" si="5"/>
        <v>35022.842093029307</v>
      </c>
      <c r="E74" s="85">
        <f t="shared" si="6"/>
        <v>3.2443626323055641E-2</v>
      </c>
      <c r="F74" s="85">
        <f>C74/C73-1</f>
        <v>2.6075935725263788E-2</v>
      </c>
      <c r="G74" s="85">
        <f>D74/D73-1</f>
        <v>3.3425165597605444E-2</v>
      </c>
      <c r="H74" s="102">
        <f>F74-E74</f>
        <v>-6.367690597791853E-3</v>
      </c>
      <c r="I74" s="102">
        <f t="shared" si="7"/>
        <v>-7.349229872341656E-3</v>
      </c>
      <c r="J74" s="22">
        <f>'Table 1.3.1'!B75</f>
        <v>8608.5</v>
      </c>
      <c r="K74" s="22">
        <f>'Table 1.1'!B74/1000</f>
        <v>1142.6210000000001</v>
      </c>
      <c r="L74" s="85">
        <f t="shared" si="8"/>
        <v>0.13273171865017136</v>
      </c>
      <c r="M74" s="85">
        <f t="shared" si="9"/>
        <v>0.11955931536494224</v>
      </c>
      <c r="N74" s="93"/>
    </row>
    <row r="75" spans="1:14" ht="12.75" customHeight="1">
      <c r="A75" s="342">
        <f>'Table 1.1'!A75</f>
        <v>1998</v>
      </c>
      <c r="B75" s="23">
        <f>'Table 1.1'!H75</f>
        <v>41692</v>
      </c>
      <c r="C75" s="60">
        <f>'Table 1.1'!J75</f>
        <v>5545.3858073157799</v>
      </c>
      <c r="D75" s="60">
        <f t="shared" si="5"/>
        <v>36146.614192684217</v>
      </c>
      <c r="E75" s="85">
        <f t="shared" si="6"/>
        <v>3.2414629918530169E-2</v>
      </c>
      <c r="F75" s="85">
        <f>C75/C74-1</f>
        <v>3.4556426053083289E-2</v>
      </c>
      <c r="G75" s="85">
        <f>D75/D74-1</f>
        <v>3.2086833406320681E-2</v>
      </c>
      <c r="H75" s="102">
        <f>F75-E75</f>
        <v>2.14179613455312E-3</v>
      </c>
      <c r="I75" s="102">
        <f t="shared" si="7"/>
        <v>2.4695926467626084E-3</v>
      </c>
      <c r="J75" s="22">
        <f>'Table 1.3.1'!B76</f>
        <v>9089.1</v>
      </c>
      <c r="K75" s="22">
        <f>'Table 1.1'!B75/1000</f>
        <v>1208.933</v>
      </c>
      <c r="L75" s="85">
        <f t="shared" si="8"/>
        <v>0.13300909881066331</v>
      </c>
      <c r="M75" s="85">
        <f t="shared" si="9"/>
        <v>0.13797752808988734</v>
      </c>
      <c r="N75" s="93"/>
    </row>
    <row r="76" spans="1:14" ht="16.5" customHeight="1">
      <c r="A76" s="342">
        <f>'Table 1.1'!A76</f>
        <v>1999</v>
      </c>
      <c r="B76" s="23">
        <f>'Table 1.1'!H76</f>
        <v>43216</v>
      </c>
      <c r="C76" s="60">
        <f>'Table 1.1'!J76</f>
        <v>5751.8190205001629</v>
      </c>
      <c r="D76" s="60">
        <f t="shared" si="5"/>
        <v>37464.180979499841</v>
      </c>
      <c r="E76" s="85">
        <f t="shared" si="6"/>
        <v>3.6553775304614788E-2</v>
      </c>
      <c r="F76" s="85">
        <f>C76/C75-1</f>
        <v>3.7226122826665264E-2</v>
      </c>
      <c r="G76" s="85">
        <f>D76/D75-1</f>
        <v>3.6450627983914741E-2</v>
      </c>
      <c r="H76" s="102">
        <f>F76-E76</f>
        <v>6.7234752205047599E-4</v>
      </c>
      <c r="I76" s="102">
        <f t="shared" si="7"/>
        <v>7.7549484275052372E-4</v>
      </c>
      <c r="J76" s="22">
        <f>'Table 1.3.1'!B77</f>
        <v>9665.7000000000007</v>
      </c>
      <c r="K76" s="22">
        <f>'Table 1.1'!B76/1000</f>
        <v>1286.4559999999999</v>
      </c>
      <c r="L76" s="85">
        <f t="shared" si="8"/>
        <v>0.13309496466888066</v>
      </c>
      <c r="M76" s="85">
        <f t="shared" si="9"/>
        <v>0.13444849115504659</v>
      </c>
      <c r="N76" s="93"/>
    </row>
    <row r="77" spans="1:14" ht="12.75" customHeight="1">
      <c r="A77" s="342">
        <f>'Table 1.1'!A77</f>
        <v>2000</v>
      </c>
      <c r="B77" s="23">
        <f>'Table 1.1'!H77</f>
        <v>44495</v>
      </c>
      <c r="C77" s="60">
        <f>'Table 1.1'!J77</f>
        <v>5955.1442433097109</v>
      </c>
      <c r="D77" s="60">
        <f t="shared" si="5"/>
        <v>38539.855756690289</v>
      </c>
      <c r="E77" s="85">
        <f t="shared" si="6"/>
        <v>2.9595520177712054E-2</v>
      </c>
      <c r="F77" s="85">
        <f>C77/C76-1</f>
        <v>3.534972537989689E-2</v>
      </c>
      <c r="G77" s="85">
        <f>D77/D76-1</f>
        <v>2.8712085759436512E-2</v>
      </c>
      <c r="H77" s="102">
        <f>F77-E77</f>
        <v>5.7542052021848367E-3</v>
      </c>
      <c r="I77" s="102">
        <f t="shared" si="7"/>
        <v>6.6376396204603783E-3</v>
      </c>
      <c r="J77" s="22">
        <f>'Table 1.3.1'!B78</f>
        <v>10289.700000000001</v>
      </c>
      <c r="K77" s="22">
        <f>'Table 1.1'!B77/1000</f>
        <v>1377.1780000000001</v>
      </c>
      <c r="L77" s="85">
        <f t="shared" si="8"/>
        <v>0.1338404423841317</v>
      </c>
      <c r="M77" s="85">
        <f t="shared" si="9"/>
        <v>0.14538782051282084</v>
      </c>
      <c r="N77" s="93"/>
    </row>
    <row r="78" spans="1:14" ht="12.75" customHeight="1">
      <c r="A78" s="342">
        <f>'Table 1.1'!A78</f>
        <v>2001</v>
      </c>
      <c r="B78" s="23">
        <f>'Table 1.1'!H78</f>
        <v>44472</v>
      </c>
      <c r="C78" s="60">
        <f>'Table 1.1'!J78</f>
        <v>6250.3648294447548</v>
      </c>
      <c r="D78" s="60">
        <f t="shared" si="5"/>
        <v>38221.635170555244</v>
      </c>
      <c r="E78" s="85">
        <f t="shared" si="6"/>
        <v>-5.1691201258563524E-4</v>
      </c>
      <c r="F78" s="85">
        <f>C78/C77-1</f>
        <v>4.9574044569400399E-2</v>
      </c>
      <c r="G78" s="85">
        <f>D78/D77-1</f>
        <v>-8.2569220846085978E-3</v>
      </c>
      <c r="H78" s="102">
        <f>F78-E78</f>
        <v>5.0090956581986035E-2</v>
      </c>
      <c r="I78" s="102">
        <f t="shared" si="7"/>
        <v>5.7830966654008997E-2</v>
      </c>
      <c r="J78" s="22">
        <f>'Table 1.3.1'!B79</f>
        <v>10625.3</v>
      </c>
      <c r="K78" s="22">
        <f>'Table 1.1'!B78/1000</f>
        <v>1493.347</v>
      </c>
      <c r="L78" s="85">
        <f t="shared" si="8"/>
        <v>0.14054633751517606</v>
      </c>
      <c r="M78" s="85">
        <f t="shared" si="9"/>
        <v>0.3461531585220512</v>
      </c>
      <c r="N78" s="93"/>
    </row>
    <row r="79" spans="1:14" ht="12.75" customHeight="1">
      <c r="A79" s="342">
        <f>'Table 1.1'!A79</f>
        <v>2002</v>
      </c>
      <c r="B79" s="23">
        <f>'Table 1.1'!H79</f>
        <v>44832</v>
      </c>
      <c r="C79" s="60">
        <f>'Table 1.1'!J79</f>
        <v>6687.7936476810546</v>
      </c>
      <c r="D79" s="60">
        <f t="shared" si="5"/>
        <v>38144.206352318943</v>
      </c>
      <c r="E79" s="85">
        <f t="shared" si="6"/>
        <v>8.0949811117108084E-3</v>
      </c>
      <c r="F79" s="85">
        <f>C79/C78-1</f>
        <v>6.998452573130165E-2</v>
      </c>
      <c r="G79" s="85">
        <f>D79/D78-1</f>
        <v>-2.0257850793351517E-3</v>
      </c>
      <c r="H79" s="102">
        <f>F79-E79</f>
        <v>6.1889544619590842E-2</v>
      </c>
      <c r="I79" s="102">
        <f t="shared" si="7"/>
        <v>7.2010310810636802E-2</v>
      </c>
      <c r="J79" s="22">
        <f>'Table 1.3.1'!B80</f>
        <v>10980.2</v>
      </c>
      <c r="K79" s="22">
        <f>'Table 1.1'!B79/1000</f>
        <v>1637.9559999999999</v>
      </c>
      <c r="L79" s="85">
        <f t="shared" si="8"/>
        <v>0.14917360339520225</v>
      </c>
      <c r="M79" s="85">
        <f t="shared" si="9"/>
        <v>0.40746407438714943</v>
      </c>
      <c r="N79" s="93"/>
    </row>
    <row r="80" spans="1:14" ht="12.75" customHeight="1">
      <c r="A80" s="342">
        <f>'Table 1.1'!A80</f>
        <v>2003</v>
      </c>
      <c r="B80" s="23">
        <f>'Table 1.1'!H80</f>
        <v>45660</v>
      </c>
      <c r="C80" s="60">
        <f>'Table 1.1'!J80</f>
        <v>7041.769139271225</v>
      </c>
      <c r="D80" s="60">
        <f t="shared" si="5"/>
        <v>38618.230860728778</v>
      </c>
      <c r="E80" s="85">
        <f t="shared" si="6"/>
        <v>1.8468950749464641E-2</v>
      </c>
      <c r="F80" s="85">
        <f>C80/C79-1</f>
        <v>5.2928590539408793E-2</v>
      </c>
      <c r="G80" s="85">
        <f>D80/D79-1</f>
        <v>1.2427169254263903E-2</v>
      </c>
      <c r="H80" s="102">
        <f>F80-E80</f>
        <v>3.4459639789944152E-2</v>
      </c>
      <c r="I80" s="102">
        <f t="shared" si="7"/>
        <v>4.050142128514489E-2</v>
      </c>
      <c r="J80" s="22">
        <f>'Table 1.3.1'!B81</f>
        <v>11512.2</v>
      </c>
      <c r="K80" s="22">
        <f>'Table 1.1'!B80/1000</f>
        <v>1775.4390000000001</v>
      </c>
      <c r="L80" s="85">
        <f t="shared" si="8"/>
        <v>0.15422239016000416</v>
      </c>
      <c r="M80" s="85">
        <f t="shared" si="9"/>
        <v>0.25842669172932364</v>
      </c>
      <c r="N80" s="93"/>
    </row>
    <row r="81" spans="1:14" ht="12.75" customHeight="1">
      <c r="A81" s="342">
        <f>'Table 1.1'!A81</f>
        <v>2004</v>
      </c>
      <c r="B81" s="23">
        <f>'Table 1.1'!H81</f>
        <v>46968</v>
      </c>
      <c r="C81" s="60">
        <f>'Table 1.1'!J81</f>
        <v>7274.9413540332962</v>
      </c>
      <c r="D81" s="60">
        <f t="shared" si="5"/>
        <v>39693.058645966703</v>
      </c>
      <c r="E81" s="85">
        <f>B81/B80-1</f>
        <v>2.864651773981608E-2</v>
      </c>
      <c r="F81" s="85">
        <f>C81/C80-1</f>
        <v>3.3112732063551142E-2</v>
      </c>
      <c r="G81" s="85">
        <f>D81/D80-1</f>
        <v>2.7832134235101114E-2</v>
      </c>
      <c r="H81" s="102">
        <f>F81-E81</f>
        <v>4.4662143237350627E-3</v>
      </c>
      <c r="I81" s="102">
        <f t="shared" si="7"/>
        <v>5.2805978284500288E-3</v>
      </c>
      <c r="J81" s="22">
        <f>'Table 1.3.1'!B82</f>
        <v>12277</v>
      </c>
      <c r="K81" s="22">
        <f>'Table 1.1'!B81/1000</f>
        <v>1901.5989999999999</v>
      </c>
      <c r="L81" s="85">
        <f t="shared" si="8"/>
        <v>0.15489117862670032</v>
      </c>
      <c r="M81" s="85">
        <f t="shared" si="9"/>
        <v>0.16495815899581587</v>
      </c>
      <c r="N81" s="93"/>
    </row>
    <row r="82" spans="1:14" ht="12.75" customHeight="1">
      <c r="A82" s="342">
        <f>'Table 1.1'!A82</f>
        <v>2005</v>
      </c>
      <c r="B82" s="23">
        <f>'Table 1.1'!H82</f>
        <v>48094</v>
      </c>
      <c r="C82" s="60">
        <f>'Table 1.1'!J82</f>
        <v>7457.1962373439246</v>
      </c>
      <c r="D82" s="60">
        <f t="shared" si="5"/>
        <v>40636.803762656076</v>
      </c>
      <c r="E82" s="85">
        <f>B82/B81-1</f>
        <v>2.3973769374893594E-2</v>
      </c>
      <c r="F82" s="85">
        <f>C82/C81-1</f>
        <v>2.5052419592301645E-2</v>
      </c>
      <c r="G82" s="85">
        <f>D82/D81-1</f>
        <v>2.3776074429206817E-2</v>
      </c>
      <c r="H82" s="102">
        <f>F82-E82</f>
        <v>1.0786502174080503E-3</v>
      </c>
      <c r="I82" s="102">
        <f t="shared" si="7"/>
        <v>1.2763451630948275E-3</v>
      </c>
      <c r="J82" s="22">
        <f>'Table 1.3.1'!B83</f>
        <v>13095.4</v>
      </c>
      <c r="K82" s="22">
        <f>'Table 1.1'!B82/1000</f>
        <v>2030.4970000000001</v>
      </c>
      <c r="L82" s="85">
        <f t="shared" si="8"/>
        <v>0.15505421751149259</v>
      </c>
      <c r="M82" s="85">
        <f t="shared" si="9"/>
        <v>0.15750000000000025</v>
      </c>
      <c r="N82" s="93"/>
    </row>
    <row r="83" spans="1:14" ht="12.75" customHeight="1">
      <c r="A83" s="342">
        <f>'Table 1.1'!A83</f>
        <v>2006</v>
      </c>
      <c r="B83" s="23">
        <f>'Table 1.1'!H83</f>
        <v>48910</v>
      </c>
      <c r="C83" s="60">
        <f>'Table 1.1'!J83</f>
        <v>7635.1539769243791</v>
      </c>
      <c r="D83" s="60">
        <f t="shared" si="5"/>
        <v>41274.846023075617</v>
      </c>
      <c r="E83" s="85">
        <f>B83/B82-1</f>
        <v>1.696677340208752E-2</v>
      </c>
      <c r="F83" s="85">
        <f>C83/C82-1</f>
        <v>2.3863893870632369E-2</v>
      </c>
      <c r="G83" s="85">
        <f>D83/D82-1</f>
        <v>1.5701093623063933E-2</v>
      </c>
      <c r="H83" s="102">
        <f>F83-E83</f>
        <v>6.8971204685448484E-3</v>
      </c>
      <c r="I83" s="102">
        <f t="shared" si="7"/>
        <v>8.1628002475684358E-3</v>
      </c>
      <c r="J83" s="22">
        <f>'Table 1.3.1'!B84</f>
        <v>13857.9</v>
      </c>
      <c r="K83" s="22">
        <f>'Table 1.1'!B83/1000</f>
        <v>2163.2930000000001</v>
      </c>
      <c r="L83" s="85">
        <f t="shared" si="8"/>
        <v>0.15610539836483162</v>
      </c>
      <c r="M83" s="85">
        <f t="shared" si="9"/>
        <v>0.17415868852459024</v>
      </c>
      <c r="N83" s="93"/>
    </row>
    <row r="84" spans="1:14" ht="12.75" customHeight="1">
      <c r="A84" s="342">
        <f>'Table 1.1'!A84</f>
        <v>2007</v>
      </c>
      <c r="B84" s="23">
        <f>'Table 1.1'!H84</f>
        <v>49311</v>
      </c>
      <c r="C84" s="60">
        <f>'Table 1.1'!J84</f>
        <v>7826.4042034169024</v>
      </c>
      <c r="D84" s="60">
        <f t="shared" si="5"/>
        <v>41484.595796583097</v>
      </c>
      <c r="E84" s="85">
        <f>B84/B83-1</f>
        <v>8.19873236556945E-3</v>
      </c>
      <c r="F84" s="85">
        <f>C84/C83-1</f>
        <v>2.5048640416491352E-2</v>
      </c>
      <c r="G84" s="85">
        <f>D84/D83-1</f>
        <v>5.0817820953279469E-3</v>
      </c>
      <c r="H84" s="102">
        <f>F84-E84</f>
        <v>1.6849908050921902E-2</v>
      </c>
      <c r="I84" s="102">
        <f t="shared" si="7"/>
        <v>1.9966858321163405E-2</v>
      </c>
      <c r="J84" s="22">
        <f>'Table 1.3.1'!B85</f>
        <v>14480.3</v>
      </c>
      <c r="K84" s="22">
        <f>'Table 1.1'!B84/1000</f>
        <v>2298.2689999999998</v>
      </c>
      <c r="L84" s="85">
        <f t="shared" si="8"/>
        <v>0.15871694647210347</v>
      </c>
      <c r="M84" s="85">
        <f t="shared" si="9"/>
        <v>0.21686375321336718</v>
      </c>
      <c r="N84" s="93"/>
    </row>
    <row r="85" spans="1:14" ht="12.75" customHeight="1">
      <c r="A85" s="342">
        <f>'Table 1.1'!A85</f>
        <v>2008</v>
      </c>
      <c r="B85" s="23">
        <f>'Table 1.1'!H85</f>
        <v>48708</v>
      </c>
      <c r="C85" s="60">
        <f>'Table 1.1'!J85</f>
        <v>7963.3165644852934</v>
      </c>
      <c r="D85" s="60">
        <f t="shared" si="5"/>
        <v>40744.683435514708</v>
      </c>
      <c r="E85" s="85">
        <f>B85/B84-1</f>
        <v>-1.2228508851980235E-2</v>
      </c>
      <c r="F85" s="85">
        <f>C85/C84-1</f>
        <v>1.7493648105807891E-2</v>
      </c>
      <c r="G85" s="85">
        <f>D85/D84-1</f>
        <v>-1.78358339248742E-2</v>
      </c>
      <c r="H85" s="102">
        <f>F85-E85</f>
        <v>2.9722156957788126E-2</v>
      </c>
      <c r="I85" s="102">
        <f t="shared" si="7"/>
        <v>3.5329482030682091E-2</v>
      </c>
      <c r="J85" s="22">
        <f>'Table 1.3.1'!B86</f>
        <v>14720.3</v>
      </c>
      <c r="K85" s="22">
        <f>'Table 1.1'!B85/1000</f>
        <v>2406.6439999999998</v>
      </c>
      <c r="L85" s="85">
        <f t="shared" si="8"/>
        <v>0.16349150492856804</v>
      </c>
      <c r="M85" s="85">
        <f t="shared" si="9"/>
        <v>0.45156249999999998</v>
      </c>
      <c r="N85" s="93"/>
    </row>
    <row r="86" spans="1:14" ht="12.75" customHeight="1">
      <c r="A86" s="342">
        <f>'Table 1.1'!A86</f>
        <v>2009</v>
      </c>
      <c r="B86" s="23">
        <f>'Table 1.1'!H86</f>
        <v>46927</v>
      </c>
      <c r="C86" s="60">
        <f>'Table 1.1'!J86</f>
        <v>8140.7726858481965</v>
      </c>
      <c r="D86" s="60">
        <f t="shared" si="5"/>
        <v>38786.227314151802</v>
      </c>
      <c r="E86" s="85">
        <f>B86/B85-1</f>
        <v>-3.6564835345323177E-2</v>
      </c>
      <c r="F86" s="85">
        <f>C86/C85-1</f>
        <v>2.2284197786927029E-2</v>
      </c>
      <c r="G86" s="85">
        <f>D86/D85-1</f>
        <v>-4.8066544055066496E-2</v>
      </c>
      <c r="H86" s="102">
        <f>F86-E86</f>
        <v>5.8849033132250206E-2</v>
      </c>
      <c r="I86" s="102">
        <f t="shared" si="7"/>
        <v>7.0350741841993525E-2</v>
      </c>
      <c r="J86" s="22">
        <f>'Table 1.3.1'!B87</f>
        <v>14417.9</v>
      </c>
      <c r="K86" s="22">
        <f>'Table 1.1'!B86/1000</f>
        <v>2501.1709999999998</v>
      </c>
      <c r="L86" s="85">
        <f t="shared" si="8"/>
        <v>0.1734767892688949</v>
      </c>
      <c r="M86" s="85">
        <f t="shared" si="9"/>
        <v>-0.31258928571428624</v>
      </c>
      <c r="N86" s="93"/>
    </row>
    <row r="87" spans="1:14" ht="12.75" customHeight="1">
      <c r="A87" s="342">
        <f>'Table 1.1'!A87</f>
        <v>2010</v>
      </c>
      <c r="B87" s="23">
        <f>'Table 1.1'!H87</f>
        <v>47710</v>
      </c>
      <c r="C87" s="60">
        <f>'Table 1.1'!J87</f>
        <v>8292.5801853943667</v>
      </c>
      <c r="D87" s="60">
        <f t="shared" si="5"/>
        <v>39417.41981460563</v>
      </c>
      <c r="E87" s="85">
        <f>B87/B86-1</f>
        <v>1.6685490229505495E-2</v>
      </c>
      <c r="F87" s="85">
        <f>C87/C86-1</f>
        <v>1.8647799834783596E-2</v>
      </c>
      <c r="G87" s="85">
        <f>D87/D86-1</f>
        <v>1.6273624535365183E-2</v>
      </c>
      <c r="H87" s="102">
        <f>F87-E87</f>
        <v>1.9623096052781008E-3</v>
      </c>
      <c r="I87" s="102">
        <f t="shared" si="7"/>
        <v>2.3741752994184129E-3</v>
      </c>
      <c r="J87" s="22">
        <f>'Table 1.3.1'!B88</f>
        <v>14958.3</v>
      </c>
      <c r="K87" s="22">
        <f>'Table 1.1'!B87/1000</f>
        <v>2599.951</v>
      </c>
      <c r="L87" s="85">
        <f t="shared" si="8"/>
        <v>0.17381326755045695</v>
      </c>
      <c r="M87" s="85">
        <f t="shared" si="9"/>
        <v>0.18279052553664002</v>
      </c>
      <c r="N87" s="93"/>
    </row>
    <row r="88" spans="1:14" ht="12.75" customHeight="1">
      <c r="A88" s="342">
        <f>'Table 1.1'!A88</f>
        <v>2011</v>
      </c>
      <c r="B88" s="23">
        <f>'Table 1.1'!H88</f>
        <v>48239</v>
      </c>
      <c r="C88" s="60">
        <f>'Table 1.1'!J88</f>
        <v>8386.9185406961642</v>
      </c>
      <c r="D88" s="60">
        <f t="shared" si="5"/>
        <v>39852.081459303838</v>
      </c>
      <c r="E88" s="85">
        <f>B88/B87-1</f>
        <v>1.1087822259484348E-2</v>
      </c>
      <c r="F88" s="85">
        <f>C88/C87-1</f>
        <v>1.1376236731235334E-2</v>
      </c>
      <c r="G88" s="85">
        <f>D88/D87-1</f>
        <v>1.1027146037020596E-2</v>
      </c>
      <c r="H88" s="102">
        <f>F88-E88</f>
        <v>2.8841447175098622E-4</v>
      </c>
      <c r="I88" s="102">
        <f t="shared" si="7"/>
        <v>3.490906942147376E-4</v>
      </c>
      <c r="J88" s="22">
        <f>'Table 1.3.1'!B89</f>
        <v>15533.8</v>
      </c>
      <c r="K88" s="22">
        <f>'Table 1.1'!B88/1000</f>
        <v>2700.739</v>
      </c>
      <c r="L88" s="85">
        <f t="shared" si="8"/>
        <v>0.17386209427184593</v>
      </c>
      <c r="M88" s="85">
        <f t="shared" si="9"/>
        <v>0.17513119026933102</v>
      </c>
      <c r="N88" s="93"/>
    </row>
    <row r="89" spans="1:14" ht="12.75" customHeight="1">
      <c r="A89" s="342">
        <f>'Table 1.1'!A89</f>
        <v>2012</v>
      </c>
      <c r="B89" s="23">
        <f>'Table 1.1'!H89</f>
        <v>49226</v>
      </c>
      <c r="C89" s="60">
        <f>'Table 1.1'!J89</f>
        <v>8531.1763231967307</v>
      </c>
      <c r="D89" s="60">
        <f t="shared" si="5"/>
        <v>40694.823676803266</v>
      </c>
      <c r="E89" s="85">
        <f>B89/B88-1</f>
        <v>2.0460623147245949E-2</v>
      </c>
      <c r="F89" s="85">
        <f>C89/C88-1</f>
        <v>1.7200331897893051E-2</v>
      </c>
      <c r="G89" s="85">
        <f>D89/D88-1</f>
        <v>2.1146755367345671E-2</v>
      </c>
      <c r="H89" s="102">
        <f>F89-E89</f>
        <v>-3.2602912493528979E-3</v>
      </c>
      <c r="I89" s="102">
        <f t="shared" si="7"/>
        <v>-3.9464234694526201E-3</v>
      </c>
      <c r="J89" s="22">
        <f>'Table 1.3.1'!B90</f>
        <v>16244.6</v>
      </c>
      <c r="K89" s="22">
        <f>'Table 1.1'!B89/1000</f>
        <v>2815.2727073473529</v>
      </c>
      <c r="L89" s="85">
        <f t="shared" si="8"/>
        <v>0.17330514185312984</v>
      </c>
      <c r="M89" s="85">
        <f t="shared" si="9"/>
        <v>0.16113352187303423</v>
      </c>
      <c r="N89" s="93"/>
    </row>
    <row r="90" spans="1:14" ht="12.75" customHeight="1">
      <c r="A90" s="342">
        <f>'Table 1.1'!A90</f>
        <v>2013</v>
      </c>
      <c r="B90" s="23">
        <f>'Table 1.1'!H90</f>
        <v>49586.285716123646</v>
      </c>
      <c r="C90" s="60">
        <f>'Table 1.1'!J90</f>
        <v>8666.6649903929774</v>
      </c>
      <c r="D90" s="60">
        <f t="shared" si="5"/>
        <v>40919.620725730667</v>
      </c>
      <c r="E90" s="85">
        <f>B90/B89-1</f>
        <v>7.3190126381108556E-3</v>
      </c>
      <c r="F90" s="85">
        <f>C90/C89-1</f>
        <v>1.5881592650692999E-2</v>
      </c>
      <c r="G90" s="85">
        <f>D90/D89-1</f>
        <v>5.5239715673112144E-3</v>
      </c>
      <c r="H90" s="102">
        <f>F90-E90</f>
        <v>8.5625800125821439E-3</v>
      </c>
      <c r="I90" s="102">
        <f t="shared" si="7"/>
        <v>1.0357621083381785E-2</v>
      </c>
      <c r="J90" s="22">
        <f>'Table 1.3.1'!B91</f>
        <v>16717.693436145808</v>
      </c>
      <c r="K90" s="22">
        <f>'Table 1.1'!B90/1000</f>
        <v>2921.9707210300321</v>
      </c>
      <c r="L90" s="85">
        <f t="shared" si="8"/>
        <v>0.17478312616454342</v>
      </c>
      <c r="M90" s="85">
        <f t="shared" si="9"/>
        <v>0.22553264435863957</v>
      </c>
      <c r="N90" s="93"/>
    </row>
    <row r="91" spans="1:14" ht="12.75" customHeight="1">
      <c r="A91" s="342">
        <f>'Table 1.1'!A91</f>
        <v>2014</v>
      </c>
      <c r="B91" s="23">
        <f>'Table 1.1'!H91</f>
        <v>50487.311427537679</v>
      </c>
      <c r="C91" s="60">
        <f>'Table 1.1'!J91</f>
        <v>9079.5119486771782</v>
      </c>
      <c r="D91" s="60">
        <f t="shared" si="5"/>
        <v>41407.799478860499</v>
      </c>
      <c r="E91" s="85">
        <f>B91/B90-1</f>
        <v>1.8170865157602467E-2</v>
      </c>
      <c r="F91" s="85">
        <f>C91/C90-1</f>
        <v>4.7636196707942835E-2</v>
      </c>
      <c r="G91" s="85">
        <f>D91/D90-1</f>
        <v>1.1930187633016454E-2</v>
      </c>
      <c r="H91" s="102">
        <f>F91-E91</f>
        <v>2.9465331550340368E-2</v>
      </c>
      <c r="I91" s="102">
        <f t="shared" si="7"/>
        <v>3.5706009074926381E-2</v>
      </c>
      <c r="J91" s="22">
        <f>'Table 1.3.1'!B92</f>
        <v>17456.837229161356</v>
      </c>
      <c r="K91" s="22">
        <f>'Table 1.1'!B91/1000</f>
        <v>3137.1196421868362</v>
      </c>
      <c r="L91" s="85">
        <f t="shared" si="8"/>
        <v>0.17970721735013545</v>
      </c>
      <c r="M91" s="85">
        <f t="shared" si="9"/>
        <v>0.29107857387132041</v>
      </c>
      <c r="N91" s="93"/>
    </row>
    <row r="92" spans="1:14" ht="12.75" customHeight="1">
      <c r="A92" s="342">
        <f>'Table 1.1'!A92</f>
        <v>2015</v>
      </c>
      <c r="B92" s="23">
        <f>'Table 1.1'!H92</f>
        <v>52172.931836268479</v>
      </c>
      <c r="C92" s="60">
        <f>'Table 1.1'!J92</f>
        <v>9348.3645224912216</v>
      </c>
      <c r="D92" s="60">
        <f t="shared" si="5"/>
        <v>42824.567313777254</v>
      </c>
      <c r="E92" s="85">
        <f>B92/B91-1</f>
        <v>3.3387010737343292E-2</v>
      </c>
      <c r="F92" s="85">
        <f>C92/C91-1</f>
        <v>2.9610905887206052E-2</v>
      </c>
      <c r="G92" s="85">
        <f>D92/D91-1</f>
        <v>3.4214999414302172E-2</v>
      </c>
      <c r="H92" s="102">
        <f>F92-E92</f>
        <v>-3.7761048501372407E-3</v>
      </c>
      <c r="I92" s="102">
        <f t="shared" si="7"/>
        <v>-4.6040935270961203E-3</v>
      </c>
      <c r="J92" s="22">
        <f>'Table 1.3.1'!B93</f>
        <v>18543.813395360692</v>
      </c>
      <c r="K92" s="22">
        <f>'Table 1.1'!B92/1000</f>
        <v>3314.9677050646274</v>
      </c>
      <c r="L92" s="85">
        <f t="shared" si="8"/>
        <v>0.17876407804524008</v>
      </c>
      <c r="M92" s="85">
        <f t="shared" si="9"/>
        <v>0.16361726080862041</v>
      </c>
      <c r="N92" s="93"/>
    </row>
    <row r="93" spans="1:14" ht="12.75" customHeight="1">
      <c r="A93" s="342">
        <f>'Table 1.1'!A93</f>
        <v>2016</v>
      </c>
      <c r="B93" s="23">
        <f>'Table 1.1'!H93</f>
        <v>54045.642896938793</v>
      </c>
      <c r="C93" s="60">
        <f>'Table 1.1'!J93</f>
        <v>9668.5013543269706</v>
      </c>
      <c r="D93" s="60">
        <f t="shared" si="5"/>
        <v>44377.141542611818</v>
      </c>
      <c r="E93" s="85">
        <f>B93/B92-1</f>
        <v>3.5894303708048136E-2</v>
      </c>
      <c r="F93" s="85">
        <f>C93/C92-1</f>
        <v>3.4245223436199179E-2</v>
      </c>
      <c r="G93" s="85">
        <f>D93/D92-1</f>
        <v>3.6254288746428998E-2</v>
      </c>
      <c r="H93" s="102">
        <f>F93-E93</f>
        <v>-1.6490802718489572E-3</v>
      </c>
      <c r="I93" s="102">
        <f t="shared" si="7"/>
        <v>-2.0090653102298184E-3</v>
      </c>
      <c r="J93" s="22">
        <f>'Table 1.3.1'!B94</f>
        <v>19759.156270711192</v>
      </c>
      <c r="K93" s="22">
        <f>'Table 1.1'!B93/1000</f>
        <v>3522.2611765145443</v>
      </c>
      <c r="L93" s="85">
        <f t="shared" si="8"/>
        <v>0.17825969531581459</v>
      </c>
      <c r="M93" s="85">
        <f t="shared" si="9"/>
        <v>0.17056377723046631</v>
      </c>
      <c r="N93" s="93"/>
    </row>
    <row r="94" spans="1:14" ht="12.75" customHeight="1">
      <c r="A94" s="342">
        <f>'Table 1.1'!A94</f>
        <v>2017</v>
      </c>
      <c r="B94" s="23">
        <f>'Table 1.1'!H94</f>
        <v>55652.673412005955</v>
      </c>
      <c r="C94" s="60">
        <f>'Table 1.1'!J94</f>
        <v>9962.5557516129993</v>
      </c>
      <c r="D94" s="60">
        <f t="shared" si="5"/>
        <v>45690.117660392956</v>
      </c>
      <c r="E94" s="85">
        <f>B94/B93-1</f>
        <v>2.9734691437229399E-2</v>
      </c>
      <c r="F94" s="85">
        <f>C94/C93-1</f>
        <v>3.0413648042199481E-2</v>
      </c>
      <c r="G94" s="85">
        <f>D94/D93-1</f>
        <v>2.958676634276669E-2</v>
      </c>
      <c r="H94" s="102">
        <f>F94-E94</f>
        <v>6.7895660497008237E-4</v>
      </c>
      <c r="I94" s="102">
        <f t="shared" si="7"/>
        <v>8.26881699432791E-4</v>
      </c>
      <c r="J94" s="22">
        <f>'Table 1.3.1'!B95</f>
        <v>20936.196176395617</v>
      </c>
      <c r="K94" s="22">
        <f>'Table 1.1'!B94/1000</f>
        <v>3731.5761384031948</v>
      </c>
      <c r="L94" s="85">
        <f t="shared" si="8"/>
        <v>0.17823563110333943</v>
      </c>
      <c r="M94" s="85">
        <f t="shared" si="9"/>
        <v>0.1778316613377165</v>
      </c>
      <c r="N94" s="93"/>
    </row>
    <row r="95" spans="1:14" ht="12.75" customHeight="1">
      <c r="A95" s="342">
        <f>'Table 1.1'!A95</f>
        <v>2018</v>
      </c>
      <c r="B95" s="23">
        <f>'Table 1.1'!H95</f>
        <v>56649.569400503664</v>
      </c>
      <c r="C95" s="60">
        <f>'Table 1.1'!J95</f>
        <v>10272.625664216792</v>
      </c>
      <c r="D95" s="60">
        <f t="shared" si="5"/>
        <v>46376.94373628687</v>
      </c>
      <c r="E95" s="85">
        <f>B95/B94-1</f>
        <v>1.7912814019149126E-2</v>
      </c>
      <c r="F95" s="85">
        <f>C95/C94-1</f>
        <v>3.1123530982859471E-2</v>
      </c>
      <c r="G95" s="85">
        <f>D95/D94-1</f>
        <v>1.5032267611980732E-2</v>
      </c>
      <c r="H95" s="102">
        <f>F95-E95</f>
        <v>1.3210716963710345E-2</v>
      </c>
      <c r="I95" s="102">
        <f t="shared" si="7"/>
        <v>1.6091263370878739E-2</v>
      </c>
      <c r="J95" s="22">
        <f>'Table 1.3.1'!B96</f>
        <v>21923.791664542441</v>
      </c>
      <c r="K95" s="22">
        <f>'Table 1.1'!B95/1000</f>
        <v>3961.0849579269634</v>
      </c>
      <c r="L95" s="85">
        <f t="shared" si="8"/>
        <v>0.18067517784039447</v>
      </c>
      <c r="M95" s="85">
        <f t="shared" si="9"/>
        <v>0.23239152292446266</v>
      </c>
      <c r="N95" s="93"/>
    </row>
    <row r="96" spans="1:14" ht="12.75" customHeight="1">
      <c r="A96" s="342">
        <f>'Table 1.1'!A96</f>
        <v>2019</v>
      </c>
      <c r="B96" s="23">
        <f>'Table 1.1'!H96</f>
        <v>57563.864557182853</v>
      </c>
      <c r="C96" s="60">
        <f>'Table 1.1'!J96</f>
        <v>10615.364016545796</v>
      </c>
      <c r="D96" s="60">
        <f t="shared" si="5"/>
        <v>46948.500540637055</v>
      </c>
      <c r="E96" s="85">
        <f>B96/B95-1</f>
        <v>1.6139489961790598E-2</v>
      </c>
      <c r="F96" s="85">
        <f>C96/C95-1</f>
        <v>3.3364240412544488E-2</v>
      </c>
      <c r="G96" s="85">
        <f>D96/D95-1</f>
        <v>1.232415847840751E-2</v>
      </c>
      <c r="H96" s="102">
        <f>F96-E96</f>
        <v>1.722475045075389E-2</v>
      </c>
      <c r="I96" s="102">
        <f t="shared" si="7"/>
        <v>2.1040081934136978E-2</v>
      </c>
      <c r="J96" s="22">
        <f>'Table 1.3.1'!B97</f>
        <v>22908.281506500127</v>
      </c>
      <c r="K96" s="22">
        <f>'Table 1.1'!B96/1000</f>
        <v>4216.6376299747371</v>
      </c>
      <c r="L96" s="85">
        <f t="shared" si="8"/>
        <v>0.1840660823370048</v>
      </c>
      <c r="M96" s="85">
        <f t="shared" si="9"/>
        <v>0.25957877994921724</v>
      </c>
      <c r="N96" s="93"/>
    </row>
    <row r="97" spans="1:24" ht="12.75" customHeight="1">
      <c r="A97" s="342">
        <f>'Table 1.1'!A97</f>
        <v>2020</v>
      </c>
      <c r="B97" s="23">
        <f>'Table 1.1'!H97</f>
        <v>58433.717357910726</v>
      </c>
      <c r="C97" s="60">
        <f>'Table 1.1'!J97</f>
        <v>10993.834998992465</v>
      </c>
      <c r="D97" s="60">
        <f t="shared" si="5"/>
        <v>47439.882358918258</v>
      </c>
      <c r="E97" s="85">
        <f>B97/B96-1</f>
        <v>1.5111091088468864E-2</v>
      </c>
      <c r="F97" s="85">
        <f>C97/C96-1</f>
        <v>3.5653132747662575E-2</v>
      </c>
      <c r="G97" s="85">
        <f>D97/D96-1</f>
        <v>1.046640068634086E-2</v>
      </c>
      <c r="H97" s="102">
        <f>F97-E97</f>
        <v>2.0542041659193711E-2</v>
      </c>
      <c r="I97" s="102">
        <f t="shared" si="7"/>
        <v>2.5186732061321715E-2</v>
      </c>
      <c r="J97" s="22">
        <f>'Table 1.3.1'!B98</f>
        <v>23912.440440989038</v>
      </c>
      <c r="K97" s="22">
        <f>'Table 1.1'!B97/1000</f>
        <v>4497.2148904036339</v>
      </c>
      <c r="L97" s="85">
        <f t="shared" si="8"/>
        <v>0.18807009269931402</v>
      </c>
      <c r="M97" s="85">
        <f t="shared" si="9"/>
        <v>0.27941519095451051</v>
      </c>
      <c r="N97" s="93"/>
    </row>
    <row r="98" spans="1:24" ht="12.75" customHeight="1">
      <c r="A98" s="342">
        <f>'Table 1.1'!A98</f>
        <v>2021</v>
      </c>
      <c r="B98" s="23">
        <f>'Table 1.1'!H98</f>
        <v>59277.927344303353</v>
      </c>
      <c r="C98" s="265">
        <f>'Table 1.1'!J98</f>
        <v>11369.920342558014</v>
      </c>
      <c r="D98" s="265">
        <f t="shared" si="5"/>
        <v>47908.00700174534</v>
      </c>
      <c r="E98" s="85">
        <f>B98/B97-1</f>
        <v>1.4447309268752928E-2</v>
      </c>
      <c r="F98" s="85">
        <f>C98/C97-1</f>
        <v>3.4208749139860384E-2</v>
      </c>
      <c r="G98" s="85">
        <f>D98/D97-1</f>
        <v>9.8677445969483912E-3</v>
      </c>
      <c r="H98" s="345">
        <f>F98-E98</f>
        <v>1.9761439871107456E-2</v>
      </c>
      <c r="I98" s="102">
        <f t="shared" si="7"/>
        <v>2.4341004542911993E-2</v>
      </c>
      <c r="J98" s="22">
        <f>'Table 1.3.1'!B99</f>
        <v>24941.444544991078</v>
      </c>
      <c r="K98" s="22">
        <f>'Table 1.1'!B98/1000</f>
        <v>4791.6178625838074</v>
      </c>
      <c r="L98" s="85">
        <f t="shared" si="8"/>
        <v>0.19211468902454149</v>
      </c>
      <c r="M98" s="85">
        <f t="shared" si="9"/>
        <v>0.28610475996662271</v>
      </c>
      <c r="N98" s="93"/>
    </row>
    <row r="99" spans="1:24" ht="15" customHeight="1">
      <c r="A99" s="346" t="s">
        <v>23</v>
      </c>
      <c r="B99" s="28" t="s">
        <v>24</v>
      </c>
      <c r="C99" s="29"/>
      <c r="D99" s="30" t="s">
        <v>25</v>
      </c>
      <c r="E99" s="30"/>
      <c r="F99" s="30"/>
      <c r="G99" s="30"/>
      <c r="H99" s="30"/>
      <c r="I99" s="29"/>
      <c r="J99" s="27" t="s">
        <v>26</v>
      </c>
      <c r="K99" s="27" t="str">
        <f>B99</f>
        <v>[A]</v>
      </c>
      <c r="L99" s="27" t="str">
        <f>D99</f>
        <v>[B]</v>
      </c>
      <c r="M99" s="27" t="s">
        <v>27</v>
      </c>
      <c r="N99" s="93"/>
    </row>
    <row r="100" spans="1:24" s="93" customFormat="1" ht="18" customHeight="1">
      <c r="A100" s="31" t="s">
        <v>36</v>
      </c>
      <c r="B100" s="32">
        <v>41519</v>
      </c>
      <c r="C100" s="32"/>
      <c r="D100" s="32"/>
      <c r="E100" s="32"/>
      <c r="F100" s="32"/>
      <c r="G100" s="32"/>
      <c r="H100" s="32"/>
      <c r="I100" s="32"/>
      <c r="J100" s="31"/>
      <c r="K100" s="31"/>
      <c r="L100" s="31"/>
      <c r="M100" s="31"/>
    </row>
    <row r="101" spans="1:24" s="38" customFormat="1" ht="18" customHeight="1">
      <c r="A101" s="35" t="s">
        <v>39</v>
      </c>
      <c r="B101" s="36"/>
      <c r="C101" s="36"/>
      <c r="D101" s="36"/>
      <c r="E101" s="36"/>
      <c r="F101" s="36"/>
      <c r="G101" s="36"/>
      <c r="H101" s="36"/>
      <c r="I101" s="36"/>
      <c r="J101" s="36"/>
      <c r="K101" s="36"/>
      <c r="L101" s="36"/>
      <c r="M101" s="36"/>
      <c r="N101" s="113"/>
    </row>
    <row r="102" spans="1:24" s="41" customFormat="1" ht="18" customHeight="1">
      <c r="A102" s="39" t="str">
        <f>B99</f>
        <v>[A]</v>
      </c>
      <c r="B102" s="88" t="s">
        <v>763</v>
      </c>
      <c r="C102" s="88"/>
      <c r="D102" s="88"/>
      <c r="E102" s="88"/>
      <c r="F102" s="88"/>
      <c r="G102" s="88"/>
      <c r="H102" s="88"/>
      <c r="I102" s="88"/>
      <c r="J102" s="88"/>
      <c r="K102" s="88"/>
      <c r="L102" s="88"/>
      <c r="M102" s="88"/>
      <c r="N102" s="39"/>
      <c r="O102" s="39"/>
      <c r="P102" s="39"/>
      <c r="Q102" s="39"/>
      <c r="R102" s="39"/>
      <c r="S102" s="39"/>
      <c r="T102" s="39"/>
      <c r="U102" s="39"/>
      <c r="V102" s="39"/>
      <c r="W102" s="39"/>
      <c r="X102" s="39"/>
    </row>
    <row r="103" spans="1:24" s="41" customFormat="1" ht="18" customHeight="1">
      <c r="A103" s="39" t="str">
        <f>D99</f>
        <v>[B]</v>
      </c>
      <c r="B103" s="88" t="s">
        <v>765</v>
      </c>
      <c r="C103" s="88"/>
      <c r="D103" s="88"/>
      <c r="E103" s="88"/>
      <c r="F103" s="88"/>
      <c r="G103" s="88"/>
      <c r="H103" s="88"/>
      <c r="I103" s="88"/>
      <c r="J103" s="88"/>
      <c r="K103" s="88"/>
      <c r="L103" s="88"/>
      <c r="M103" s="88"/>
      <c r="N103" s="39"/>
      <c r="O103" s="39"/>
      <c r="P103" s="39"/>
      <c r="Q103" s="39"/>
      <c r="R103" s="39"/>
      <c r="S103" s="39"/>
      <c r="T103" s="39"/>
      <c r="U103" s="39"/>
      <c r="V103" s="39"/>
      <c r="W103" s="39"/>
      <c r="X103" s="39"/>
    </row>
    <row r="104" spans="1:24" s="41" customFormat="1" ht="18" customHeight="1">
      <c r="A104" s="39" t="str">
        <f>J99</f>
        <v>[C]</v>
      </c>
      <c r="B104" s="88" t="s">
        <v>517</v>
      </c>
      <c r="C104" s="88"/>
      <c r="D104" s="88"/>
      <c r="E104" s="88"/>
      <c r="F104" s="88"/>
      <c r="G104" s="88"/>
      <c r="H104" s="88"/>
      <c r="I104" s="88"/>
      <c r="J104" s="88"/>
      <c r="K104" s="88"/>
      <c r="L104" s="88"/>
      <c r="M104" s="88"/>
      <c r="N104" s="39"/>
      <c r="O104" s="39"/>
      <c r="P104" s="39"/>
      <c r="Q104" s="39"/>
      <c r="R104" s="39"/>
      <c r="S104" s="39"/>
      <c r="T104" s="39"/>
      <c r="U104" s="39"/>
      <c r="V104" s="39"/>
      <c r="W104" s="39"/>
      <c r="X104" s="39"/>
    </row>
    <row r="105" spans="1:24" s="41" customFormat="1" ht="18" customHeight="1">
      <c r="A105" s="39" t="str">
        <f>M99</f>
        <v>[D]</v>
      </c>
      <c r="B105" s="88" t="s">
        <v>778</v>
      </c>
      <c r="C105" s="88"/>
      <c r="D105" s="88"/>
      <c r="E105" s="88"/>
      <c r="F105" s="88"/>
      <c r="G105" s="88"/>
      <c r="H105" s="88"/>
      <c r="I105" s="88"/>
      <c r="J105" s="88"/>
      <c r="K105" s="88"/>
      <c r="L105" s="88"/>
      <c r="M105" s="88"/>
      <c r="N105" s="39"/>
      <c r="O105" s="39"/>
      <c r="P105" s="39"/>
      <c r="Q105" s="39"/>
      <c r="R105" s="39"/>
      <c r="S105" s="39"/>
      <c r="T105" s="39"/>
      <c r="U105" s="39"/>
      <c r="V105" s="39"/>
      <c r="W105" s="39"/>
      <c r="X105" s="39"/>
    </row>
    <row r="106" spans="1:24" s="38" customFormat="1" ht="19.5" customHeight="1">
      <c r="A106" s="43" t="s">
        <v>110</v>
      </c>
      <c r="B106" s="43"/>
      <c r="C106" s="43"/>
      <c r="D106" s="43"/>
      <c r="E106" s="43"/>
      <c r="F106" s="43"/>
      <c r="G106" s="43"/>
      <c r="H106" s="43"/>
      <c r="I106" s="43"/>
      <c r="J106" s="43"/>
      <c r="K106" s="43"/>
      <c r="L106" s="148"/>
      <c r="M106" s="148"/>
      <c r="N106" s="113"/>
    </row>
    <row r="107" spans="1:24" s="89" customFormat="1" ht="24.75" customHeight="1">
      <c r="A107" s="39" t="s">
        <v>111</v>
      </c>
      <c r="B107" s="88" t="s">
        <v>421</v>
      </c>
      <c r="C107" s="88"/>
      <c r="D107" s="88"/>
      <c r="E107" s="88"/>
      <c r="F107" s="88"/>
      <c r="G107" s="88"/>
      <c r="H107" s="88"/>
      <c r="I107" s="88"/>
      <c r="J107" s="88"/>
      <c r="K107" s="88"/>
      <c r="L107" s="88"/>
      <c r="M107" s="88"/>
      <c r="N107" s="151"/>
      <c r="O107" s="151"/>
      <c r="P107" s="151"/>
      <c r="Q107" s="151"/>
      <c r="R107" s="151"/>
      <c r="S107" s="151"/>
      <c r="T107" s="151"/>
      <c r="U107" s="151"/>
      <c r="V107" s="151"/>
      <c r="W107" s="151"/>
      <c r="X107" s="151"/>
    </row>
    <row r="108" spans="1:24" s="89" customFormat="1" ht="36" customHeight="1">
      <c r="A108" s="39" t="s">
        <v>113</v>
      </c>
      <c r="B108" s="88" t="s">
        <v>589</v>
      </c>
      <c r="C108" s="88"/>
      <c r="D108" s="88"/>
      <c r="E108" s="88"/>
      <c r="F108" s="88"/>
      <c r="G108" s="88"/>
      <c r="H108" s="88"/>
      <c r="I108" s="88"/>
      <c r="J108" s="88"/>
      <c r="K108" s="88"/>
      <c r="L108" s="88"/>
      <c r="M108" s="88"/>
      <c r="N108" s="151"/>
      <c r="O108" s="151"/>
      <c r="P108" s="151"/>
      <c r="Q108" s="151"/>
      <c r="R108" s="151"/>
      <c r="S108" s="151"/>
      <c r="T108" s="151"/>
      <c r="U108" s="151"/>
      <c r="V108" s="151"/>
      <c r="W108" s="151"/>
      <c r="X108" s="151"/>
    </row>
    <row r="109" spans="1:24" s="89" customFormat="1" ht="18" customHeight="1">
      <c r="A109" s="91" t="s">
        <v>779</v>
      </c>
      <c r="B109" s="91"/>
      <c r="C109" s="91"/>
      <c r="D109" s="91"/>
      <c r="E109" s="91"/>
      <c r="F109" s="91"/>
      <c r="G109" s="91"/>
      <c r="H109" s="91"/>
      <c r="I109" s="91"/>
      <c r="J109" s="91"/>
      <c r="K109" s="91"/>
      <c r="L109" s="91"/>
      <c r="M109" s="91"/>
    </row>
  </sheetData>
  <mergeCells count="26">
    <mergeCell ref="B107:M107"/>
    <mergeCell ref="B108:M108"/>
    <mergeCell ref="A109:M109"/>
    <mergeCell ref="B100:I100"/>
    <mergeCell ref="B102:M102"/>
    <mergeCell ref="B103:M103"/>
    <mergeCell ref="B104:M104"/>
    <mergeCell ref="B105:M105"/>
    <mergeCell ref="A106:K106"/>
    <mergeCell ref="F3:F5"/>
    <mergeCell ref="G3:G5"/>
    <mergeCell ref="H3:I3"/>
    <mergeCell ref="H4:H5"/>
    <mergeCell ref="I4:I5"/>
    <mergeCell ref="B99:C99"/>
    <mergeCell ref="D99:I99"/>
    <mergeCell ref="A1:M1"/>
    <mergeCell ref="A2:A5"/>
    <mergeCell ref="B2:D2"/>
    <mergeCell ref="E2:I2"/>
    <mergeCell ref="J2:K4"/>
    <mergeCell ref="L2:M4"/>
    <mergeCell ref="B3:B5"/>
    <mergeCell ref="C3:C5"/>
    <mergeCell ref="D3:D5"/>
    <mergeCell ref="E3:E5"/>
  </mergeCells>
  <printOptions horizontalCentered="1"/>
  <pageMargins left="0.7" right="0.7" top="0.75" bottom="0.75" header="0.3" footer="0.3"/>
  <pageSetup scale="92" fitToHeight="2" orientation="portrait" horizont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93"/>
  <sheetViews>
    <sheetView view="pageBreakPreview" topLeftCell="A282" zoomScaleNormal="100" zoomScaleSheetLayoutView="100" workbookViewId="0">
      <selection activeCell="L9" sqref="L9"/>
    </sheetView>
  </sheetViews>
  <sheetFormatPr defaultRowHeight="15"/>
  <cols>
    <col min="1" max="1" width="6.7109375" customWidth="1"/>
    <col min="2" max="3" width="7.7109375" customWidth="1"/>
    <col min="4" max="5" width="6.7109375" customWidth="1"/>
    <col min="6" max="6" width="7.42578125" customWidth="1"/>
    <col min="7" max="8" width="7.7109375" customWidth="1"/>
    <col min="9" max="12" width="6.7109375" customWidth="1"/>
    <col min="13" max="15" width="5.7109375" customWidth="1"/>
    <col min="16" max="16" width="6.42578125" customWidth="1"/>
    <col min="17" max="19" width="7.7109375" customWidth="1"/>
    <col min="20" max="20" width="9.140625" style="93"/>
  </cols>
  <sheetData>
    <row r="1" spans="1:20" ht="18" customHeight="1">
      <c r="A1" s="92" t="s">
        <v>140</v>
      </c>
      <c r="B1" s="92"/>
      <c r="C1" s="92"/>
      <c r="D1" s="92"/>
      <c r="E1" s="92"/>
      <c r="F1" s="92"/>
      <c r="G1" s="92"/>
      <c r="H1" s="92"/>
      <c r="I1" s="92"/>
      <c r="J1" s="92"/>
      <c r="K1" s="92"/>
      <c r="L1" s="92"/>
      <c r="M1" s="92"/>
      <c r="N1" s="92"/>
      <c r="O1" s="92"/>
      <c r="P1" s="92"/>
      <c r="Q1" s="92"/>
      <c r="R1" s="92"/>
      <c r="S1" s="92"/>
    </row>
    <row r="2" spans="1:20" ht="19.5" customHeight="1" thickBot="1">
      <c r="A2" s="94" t="s">
        <v>141</v>
      </c>
      <c r="B2" s="94"/>
      <c r="C2" s="94"/>
      <c r="D2" s="94"/>
      <c r="E2" s="94"/>
      <c r="F2" s="94"/>
      <c r="G2" s="94"/>
      <c r="H2" s="94"/>
      <c r="I2" s="94"/>
      <c r="J2" s="94"/>
      <c r="K2" s="94"/>
      <c r="L2" s="94"/>
      <c r="M2" s="94"/>
      <c r="N2" s="94"/>
      <c r="O2" s="94"/>
      <c r="P2" s="94"/>
      <c r="Q2" s="94"/>
      <c r="R2" s="94"/>
      <c r="S2" s="94"/>
    </row>
    <row r="3" spans="1:20" ht="15.75" customHeight="1" thickTop="1">
      <c r="A3" s="4" t="s">
        <v>1</v>
      </c>
      <c r="B3" s="3" t="s">
        <v>142</v>
      </c>
      <c r="C3" s="3" t="s">
        <v>143</v>
      </c>
      <c r="D3" s="2"/>
      <c r="E3" s="2"/>
      <c r="F3" s="3" t="s">
        <v>144</v>
      </c>
      <c r="G3" s="2"/>
      <c r="H3" s="4"/>
      <c r="I3" s="3" t="s">
        <v>145</v>
      </c>
      <c r="J3" s="4"/>
      <c r="K3" s="3" t="s">
        <v>146</v>
      </c>
      <c r="L3" s="2"/>
      <c r="M3" s="2"/>
      <c r="N3" s="2"/>
      <c r="O3" s="2"/>
      <c r="P3" s="4"/>
      <c r="Q3" s="3" t="s">
        <v>147</v>
      </c>
      <c r="R3" s="2"/>
      <c r="S3" s="2"/>
    </row>
    <row r="4" spans="1:20" ht="45" customHeight="1">
      <c r="A4" s="13"/>
      <c r="B4" s="8"/>
      <c r="C4" s="9"/>
      <c r="D4" s="95"/>
      <c r="E4" s="95"/>
      <c r="F4" s="9"/>
      <c r="G4" s="95"/>
      <c r="H4" s="10"/>
      <c r="I4" s="11"/>
      <c r="J4" s="13"/>
      <c r="K4" s="9"/>
      <c r="L4" s="95"/>
      <c r="M4" s="95"/>
      <c r="N4" s="95"/>
      <c r="O4" s="95"/>
      <c r="P4" s="10"/>
      <c r="Q4" s="9"/>
      <c r="R4" s="95"/>
      <c r="S4" s="95"/>
    </row>
    <row r="5" spans="1:20" ht="15.75" customHeight="1">
      <c r="A5" s="13"/>
      <c r="B5" s="8"/>
      <c r="C5" s="14" t="s">
        <v>148</v>
      </c>
      <c r="D5" s="14" t="s">
        <v>149</v>
      </c>
      <c r="E5" s="14" t="s">
        <v>150</v>
      </c>
      <c r="F5" s="14" t="s">
        <v>151</v>
      </c>
      <c r="G5" s="14" t="s">
        <v>149</v>
      </c>
      <c r="H5" s="14" t="s">
        <v>152</v>
      </c>
      <c r="I5" s="14" t="s">
        <v>153</v>
      </c>
      <c r="J5" s="14" t="s">
        <v>154</v>
      </c>
      <c r="K5" s="14" t="s">
        <v>155</v>
      </c>
      <c r="L5" s="14" t="s">
        <v>156</v>
      </c>
      <c r="M5" s="14" t="s">
        <v>157</v>
      </c>
      <c r="N5" s="14" t="s">
        <v>158</v>
      </c>
      <c r="O5" s="14" t="s">
        <v>153</v>
      </c>
      <c r="P5" s="14" t="s">
        <v>154</v>
      </c>
      <c r="Q5" s="14" t="s">
        <v>157</v>
      </c>
      <c r="R5" s="15" t="s">
        <v>159</v>
      </c>
      <c r="S5" s="15" t="s">
        <v>153</v>
      </c>
    </row>
    <row r="6" spans="1:20" ht="21" customHeight="1">
      <c r="A6" s="10"/>
      <c r="B6" s="17"/>
      <c r="C6" s="18"/>
      <c r="D6" s="18"/>
      <c r="E6" s="18"/>
      <c r="F6" s="18"/>
      <c r="G6" s="18"/>
      <c r="H6" s="18"/>
      <c r="I6" s="18"/>
      <c r="J6" s="18"/>
      <c r="K6" s="18"/>
      <c r="L6" s="18"/>
      <c r="M6" s="18"/>
      <c r="N6" s="18"/>
      <c r="O6" s="18"/>
      <c r="P6" s="18"/>
      <c r="Q6" s="18"/>
      <c r="R6" s="9"/>
      <c r="S6" s="9"/>
    </row>
    <row r="7" spans="1:20" ht="12.75" customHeight="1">
      <c r="A7" s="96">
        <v>1929</v>
      </c>
      <c r="B7" s="61">
        <v>9.9049999999999994</v>
      </c>
      <c r="C7" s="61">
        <v>9.9079999999999995</v>
      </c>
      <c r="D7" s="61">
        <v>7.2359999999999998</v>
      </c>
      <c r="E7" s="61">
        <v>3.661</v>
      </c>
      <c r="F7" s="22">
        <v>17.100000000000001</v>
      </c>
      <c r="G7" s="21">
        <f>F7*G8/F8</f>
        <v>14.728467153284676</v>
      </c>
      <c r="H7" s="21">
        <f t="shared" ref="H7:H12" si="0">$F7*H8/$F8</f>
        <v>12.731386861313869</v>
      </c>
      <c r="I7" s="97" t="s">
        <v>65</v>
      </c>
      <c r="J7" s="97" t="s">
        <v>65</v>
      </c>
      <c r="K7" s="97" t="s">
        <v>66</v>
      </c>
      <c r="L7" s="97" t="s">
        <v>66</v>
      </c>
      <c r="M7" s="97" t="s">
        <v>66</v>
      </c>
      <c r="N7" s="97" t="s">
        <v>66</v>
      </c>
      <c r="O7" s="97" t="s">
        <v>66</v>
      </c>
      <c r="P7" s="97" t="s">
        <v>66</v>
      </c>
      <c r="Q7" s="97" t="s">
        <v>66</v>
      </c>
      <c r="R7" s="97" t="s">
        <v>66</v>
      </c>
      <c r="S7" s="97" t="s">
        <v>66</v>
      </c>
      <c r="T7" s="98"/>
    </row>
    <row r="8" spans="1:20" ht="12.75" customHeight="1">
      <c r="A8" s="96">
        <v>1930</v>
      </c>
      <c r="B8" s="61">
        <v>9.5429999999999993</v>
      </c>
      <c r="C8" s="61">
        <v>9.4890000000000008</v>
      </c>
      <c r="D8" s="61">
        <v>7.0279999999999996</v>
      </c>
      <c r="E8" s="61">
        <v>3.6629999999999998</v>
      </c>
      <c r="F8" s="22">
        <v>16.7</v>
      </c>
      <c r="G8" s="21">
        <f>F8*G9/F9</f>
        <v>14.383941605839418</v>
      </c>
      <c r="H8" s="21">
        <f t="shared" si="0"/>
        <v>12.433576642335765</v>
      </c>
      <c r="I8" s="97" t="s">
        <v>65</v>
      </c>
      <c r="J8" s="97" t="s">
        <v>65</v>
      </c>
      <c r="K8" s="99">
        <f>B8/B7-1</f>
        <v>-3.6547198384654256E-2</v>
      </c>
      <c r="L8" s="99">
        <f t="shared" ref="L8:L71" si="1">F8/F7-1</f>
        <v>-2.3391812865497186E-2</v>
      </c>
      <c r="M8" s="85">
        <f t="shared" ref="M8:M71" si="2">E8/E7-1</f>
        <v>5.4629882545742525E-4</v>
      </c>
      <c r="N8" s="85">
        <f t="shared" ref="N8:O39" si="3">H8/H7-1</f>
        <v>-2.3391812865497186E-2</v>
      </c>
      <c r="O8" s="97" t="s">
        <v>66</v>
      </c>
      <c r="P8" s="97" t="s">
        <v>66</v>
      </c>
      <c r="Q8" s="97" t="s">
        <v>66</v>
      </c>
      <c r="R8" s="97" t="s">
        <v>66</v>
      </c>
      <c r="S8" s="97" t="s">
        <v>66</v>
      </c>
      <c r="T8" s="98"/>
    </row>
    <row r="9" spans="1:20" ht="12.75" customHeight="1">
      <c r="A9" s="96">
        <v>1931</v>
      </c>
      <c r="B9" s="61">
        <v>8.5619999999999994</v>
      </c>
      <c r="C9" s="61">
        <v>8.4730000000000008</v>
      </c>
      <c r="D9" s="61">
        <v>6.5330000000000004</v>
      </c>
      <c r="E9" s="61">
        <v>3.452</v>
      </c>
      <c r="F9" s="22">
        <v>15.2</v>
      </c>
      <c r="G9" s="21">
        <f>F9*G10/F10</f>
        <v>13.091970802919709</v>
      </c>
      <c r="H9" s="21">
        <f t="shared" si="0"/>
        <v>11.316788321167882</v>
      </c>
      <c r="I9" s="97" t="s">
        <v>65</v>
      </c>
      <c r="J9" s="97" t="s">
        <v>65</v>
      </c>
      <c r="K9" s="99">
        <f t="shared" ref="K9:K72" si="4">B9/B8-1</f>
        <v>-0.10279786230745047</v>
      </c>
      <c r="L9" s="99">
        <f t="shared" si="1"/>
        <v>-8.9820359281437168E-2</v>
      </c>
      <c r="M9" s="85">
        <f t="shared" si="2"/>
        <v>-5.7603057603057617E-2</v>
      </c>
      <c r="N9" s="85">
        <f t="shared" si="3"/>
        <v>-8.9820359281437168E-2</v>
      </c>
      <c r="O9" s="97" t="s">
        <v>66</v>
      </c>
      <c r="P9" s="97" t="s">
        <v>66</v>
      </c>
      <c r="Q9" s="97" t="s">
        <v>66</v>
      </c>
      <c r="R9" s="97" t="s">
        <v>66</v>
      </c>
      <c r="S9" s="97" t="s">
        <v>66</v>
      </c>
      <c r="T9" s="98"/>
    </row>
    <row r="10" spans="1:20" ht="12.75" customHeight="1">
      <c r="A10" s="96">
        <v>1932</v>
      </c>
      <c r="B10" s="61">
        <v>7.5590000000000002</v>
      </c>
      <c r="C10" s="61">
        <v>7.4720000000000004</v>
      </c>
      <c r="D10" s="61">
        <v>5.9020000000000001</v>
      </c>
      <c r="E10" s="61">
        <v>3.1030000000000002</v>
      </c>
      <c r="F10" s="22">
        <v>13.7</v>
      </c>
      <c r="G10" s="21">
        <f>F10*G11/F11</f>
        <v>11.8</v>
      </c>
      <c r="H10" s="21">
        <f t="shared" si="0"/>
        <v>10.199999999999999</v>
      </c>
      <c r="I10" s="97" t="s">
        <v>65</v>
      </c>
      <c r="J10" s="97" t="s">
        <v>65</v>
      </c>
      <c r="K10" s="99">
        <f t="shared" si="4"/>
        <v>-0.11714552674608725</v>
      </c>
      <c r="L10" s="99">
        <f t="shared" si="1"/>
        <v>-9.8684210526315819E-2</v>
      </c>
      <c r="M10" s="85">
        <f t="shared" si="2"/>
        <v>-0.10110081112398606</v>
      </c>
      <c r="N10" s="85">
        <f t="shared" si="3"/>
        <v>-9.8684210526315819E-2</v>
      </c>
      <c r="O10" s="97" t="s">
        <v>66</v>
      </c>
      <c r="P10" s="97" t="s">
        <v>66</v>
      </c>
      <c r="Q10" s="97" t="s">
        <v>66</v>
      </c>
      <c r="R10" s="97" t="s">
        <v>66</v>
      </c>
      <c r="S10" s="97" t="s">
        <v>66</v>
      </c>
      <c r="T10" s="98"/>
    </row>
    <row r="11" spans="1:20" ht="12.75" customHeight="1">
      <c r="A11" s="96">
        <v>1933</v>
      </c>
      <c r="B11" s="61">
        <v>7.351</v>
      </c>
      <c r="C11" s="61">
        <v>7.2060000000000004</v>
      </c>
      <c r="D11" s="61">
        <v>5.5309999999999997</v>
      </c>
      <c r="E11" s="61">
        <v>3.03</v>
      </c>
      <c r="F11" s="22">
        <v>13</v>
      </c>
      <c r="G11" s="21">
        <f>F11*G12/F12</f>
        <v>11.197080291970805</v>
      </c>
      <c r="H11" s="21">
        <f t="shared" si="0"/>
        <v>9.6788321167883211</v>
      </c>
      <c r="I11" s="97" t="s">
        <v>65</v>
      </c>
      <c r="J11" s="97" t="s">
        <v>65</v>
      </c>
      <c r="K11" s="99">
        <f t="shared" si="4"/>
        <v>-2.7516867310490856E-2</v>
      </c>
      <c r="L11" s="99">
        <f t="shared" si="1"/>
        <v>-5.1094890510948843E-2</v>
      </c>
      <c r="M11" s="85">
        <f t="shared" si="2"/>
        <v>-2.3525620367386479E-2</v>
      </c>
      <c r="N11" s="85">
        <f t="shared" si="3"/>
        <v>-5.1094890510948843E-2</v>
      </c>
      <c r="O11" s="97" t="s">
        <v>66</v>
      </c>
      <c r="P11" s="97" t="s">
        <v>66</v>
      </c>
      <c r="Q11" s="97" t="s">
        <v>66</v>
      </c>
      <c r="R11" s="97" t="s">
        <v>66</v>
      </c>
      <c r="S11" s="97" t="s">
        <v>66</v>
      </c>
      <c r="T11" s="98"/>
    </row>
    <row r="12" spans="1:20" ht="12.75" customHeight="1">
      <c r="A12" s="96">
        <v>1934</v>
      </c>
      <c r="B12" s="61">
        <v>7.7560000000000002</v>
      </c>
      <c r="C12" s="61">
        <v>7.5330000000000004</v>
      </c>
      <c r="D12" s="61">
        <v>5.46</v>
      </c>
      <c r="E12" s="61">
        <v>3.0880000000000001</v>
      </c>
      <c r="F12" s="22">
        <v>13.4</v>
      </c>
      <c r="G12" s="21">
        <f>$F12*G13/$F13</f>
        <v>11.541605839416059</v>
      </c>
      <c r="H12" s="21">
        <f t="shared" si="0"/>
        <v>9.9766423357664245</v>
      </c>
      <c r="I12" s="97" t="s">
        <v>65</v>
      </c>
      <c r="J12" s="97" t="s">
        <v>65</v>
      </c>
      <c r="K12" s="99">
        <f t="shared" si="4"/>
        <v>5.5094544959869429E-2</v>
      </c>
      <c r="L12" s="99">
        <f t="shared" si="1"/>
        <v>3.0769230769230882E-2</v>
      </c>
      <c r="M12" s="85">
        <f t="shared" si="2"/>
        <v>1.9141914191419307E-2</v>
      </c>
      <c r="N12" s="85">
        <f t="shared" si="3"/>
        <v>3.0769230769230882E-2</v>
      </c>
      <c r="O12" s="97" t="s">
        <v>66</v>
      </c>
      <c r="P12" s="97" t="s">
        <v>66</v>
      </c>
      <c r="Q12" s="97" t="s">
        <v>66</v>
      </c>
      <c r="R12" s="97" t="s">
        <v>66</v>
      </c>
      <c r="S12" s="97" t="s">
        <v>66</v>
      </c>
      <c r="T12" s="98"/>
    </row>
    <row r="13" spans="1:20" ht="12.75" customHeight="1">
      <c r="A13" s="96">
        <v>1935</v>
      </c>
      <c r="B13" s="61">
        <v>7.915</v>
      </c>
      <c r="C13" s="61">
        <v>7.7190000000000003</v>
      </c>
      <c r="D13" s="61">
        <v>5.58</v>
      </c>
      <c r="E13" s="61">
        <v>3.2040000000000002</v>
      </c>
      <c r="F13" s="22">
        <v>13.7</v>
      </c>
      <c r="G13" s="22">
        <v>11.8</v>
      </c>
      <c r="H13" s="22">
        <v>10.199999999999999</v>
      </c>
      <c r="I13" s="97" t="s">
        <v>65</v>
      </c>
      <c r="J13" s="97" t="s">
        <v>65</v>
      </c>
      <c r="K13" s="99">
        <f t="shared" si="4"/>
        <v>2.0500257864878746E-2</v>
      </c>
      <c r="L13" s="99">
        <f t="shared" si="1"/>
        <v>2.2388059701492491E-2</v>
      </c>
      <c r="M13" s="85">
        <f t="shared" si="2"/>
        <v>3.7564766839378372E-2</v>
      </c>
      <c r="N13" s="85">
        <f t="shared" si="3"/>
        <v>2.2388059701492269E-2</v>
      </c>
      <c r="O13" s="97" t="s">
        <v>66</v>
      </c>
      <c r="P13" s="97" t="s">
        <v>66</v>
      </c>
      <c r="Q13" s="97" t="s">
        <v>66</v>
      </c>
      <c r="R13" s="97" t="s">
        <v>66</v>
      </c>
      <c r="S13" s="97" t="s">
        <v>66</v>
      </c>
      <c r="T13" s="98"/>
    </row>
    <row r="14" spans="1:20" ht="12.75" customHeight="1">
      <c r="A14" s="96">
        <v>1936</v>
      </c>
      <c r="B14" s="61">
        <v>8.0079999999999991</v>
      </c>
      <c r="C14" s="61">
        <v>7.79</v>
      </c>
      <c r="D14" s="61">
        <v>5.6710000000000003</v>
      </c>
      <c r="E14" s="61">
        <v>3.2530000000000001</v>
      </c>
      <c r="F14" s="22">
        <v>13.9</v>
      </c>
      <c r="G14" s="22">
        <v>11.9</v>
      </c>
      <c r="H14" s="22">
        <v>10.199999999999999</v>
      </c>
      <c r="I14" s="97" t="s">
        <v>65</v>
      </c>
      <c r="J14" s="97" t="s">
        <v>65</v>
      </c>
      <c r="K14" s="99">
        <f t="shared" si="4"/>
        <v>1.1749842072015015E-2</v>
      </c>
      <c r="L14" s="99">
        <f t="shared" si="1"/>
        <v>1.4598540145985384E-2</v>
      </c>
      <c r="M14" s="85">
        <f t="shared" si="2"/>
        <v>1.5293383270911232E-2</v>
      </c>
      <c r="N14" s="85">
        <f t="shared" si="3"/>
        <v>0</v>
      </c>
      <c r="O14" s="97" t="s">
        <v>66</v>
      </c>
      <c r="P14" s="97" t="s">
        <v>66</v>
      </c>
      <c r="Q14" s="97" t="s">
        <v>66</v>
      </c>
      <c r="R14" s="97" t="s">
        <v>66</v>
      </c>
      <c r="S14" s="97" t="s">
        <v>66</v>
      </c>
      <c r="T14" s="98"/>
    </row>
    <row r="15" spans="1:20" ht="12.75" customHeight="1">
      <c r="A15" s="96">
        <v>1937</v>
      </c>
      <c r="B15" s="61">
        <v>8.3539999999999992</v>
      </c>
      <c r="C15" s="61">
        <v>8.0739999999999998</v>
      </c>
      <c r="D15" s="61">
        <v>5.8819999999999997</v>
      </c>
      <c r="E15" s="61">
        <v>3.3239999999999998</v>
      </c>
      <c r="F15" s="22">
        <v>14.4</v>
      </c>
      <c r="G15" s="22">
        <v>12.3</v>
      </c>
      <c r="H15" s="22">
        <v>10.3</v>
      </c>
      <c r="I15" s="97" t="s">
        <v>65</v>
      </c>
      <c r="J15" s="97" t="s">
        <v>65</v>
      </c>
      <c r="K15" s="99">
        <f t="shared" si="4"/>
        <v>4.3206793206793215E-2</v>
      </c>
      <c r="L15" s="99">
        <f t="shared" si="1"/>
        <v>3.5971223021582732E-2</v>
      </c>
      <c r="M15" s="85">
        <f t="shared" si="2"/>
        <v>2.1826006762987848E-2</v>
      </c>
      <c r="N15" s="85">
        <f t="shared" si="3"/>
        <v>9.8039215686276382E-3</v>
      </c>
      <c r="O15" s="97" t="s">
        <v>66</v>
      </c>
      <c r="P15" s="97" t="s">
        <v>66</v>
      </c>
      <c r="Q15" s="97" t="s">
        <v>66</v>
      </c>
      <c r="R15" s="97" t="s">
        <v>66</v>
      </c>
      <c r="S15" s="97" t="s">
        <v>66</v>
      </c>
      <c r="T15" s="98"/>
    </row>
    <row r="16" spans="1:20" ht="12.75" customHeight="1">
      <c r="A16" s="96">
        <v>1938</v>
      </c>
      <c r="B16" s="61">
        <v>8.1159999999999997</v>
      </c>
      <c r="C16" s="61">
        <v>7.89</v>
      </c>
      <c r="D16" s="61">
        <v>5.8869999999999996</v>
      </c>
      <c r="E16" s="61">
        <v>3.379</v>
      </c>
      <c r="F16" s="22">
        <v>14.1</v>
      </c>
      <c r="G16" s="22">
        <v>12.5</v>
      </c>
      <c r="H16" s="22">
        <v>10.3</v>
      </c>
      <c r="I16" s="97" t="s">
        <v>65</v>
      </c>
      <c r="J16" s="97" t="s">
        <v>65</v>
      </c>
      <c r="K16" s="99">
        <f t="shared" si="4"/>
        <v>-2.8489346420876194E-2</v>
      </c>
      <c r="L16" s="99">
        <f t="shared" si="1"/>
        <v>-2.083333333333337E-2</v>
      </c>
      <c r="M16" s="85">
        <f t="shared" si="2"/>
        <v>1.6546329723225117E-2</v>
      </c>
      <c r="N16" s="85">
        <f t="shared" si="3"/>
        <v>0</v>
      </c>
      <c r="O16" s="97" t="s">
        <v>66</v>
      </c>
      <c r="P16" s="97" t="s">
        <v>66</v>
      </c>
      <c r="Q16" s="97" t="s">
        <v>66</v>
      </c>
      <c r="R16" s="97" t="s">
        <v>66</v>
      </c>
      <c r="S16" s="97" t="s">
        <v>66</v>
      </c>
      <c r="T16" s="98"/>
    </row>
    <row r="17" spans="1:20" ht="12.75" customHeight="1">
      <c r="A17" s="96">
        <v>1939</v>
      </c>
      <c r="B17" s="61">
        <v>8.0399999999999991</v>
      </c>
      <c r="C17" s="61">
        <v>7.8140000000000001</v>
      </c>
      <c r="D17" s="61">
        <v>5.8719999999999999</v>
      </c>
      <c r="E17" s="61">
        <v>3.36</v>
      </c>
      <c r="F17" s="22">
        <v>13.9</v>
      </c>
      <c r="G17" s="22">
        <v>12.5</v>
      </c>
      <c r="H17" s="22">
        <v>10.3</v>
      </c>
      <c r="I17" s="97" t="s">
        <v>65</v>
      </c>
      <c r="J17" s="97" t="s">
        <v>65</v>
      </c>
      <c r="K17" s="99">
        <f t="shared" si="4"/>
        <v>-9.3642188270084414E-3</v>
      </c>
      <c r="L17" s="99">
        <f t="shared" si="1"/>
        <v>-1.4184397163120477E-2</v>
      </c>
      <c r="M17" s="85">
        <f t="shared" si="2"/>
        <v>-5.622965374371125E-3</v>
      </c>
      <c r="N17" s="85">
        <f t="shared" si="3"/>
        <v>0</v>
      </c>
      <c r="O17" s="97" t="s">
        <v>66</v>
      </c>
      <c r="P17" s="97" t="s">
        <v>66</v>
      </c>
      <c r="Q17" s="97" t="s">
        <v>66</v>
      </c>
      <c r="R17" s="97" t="s">
        <v>66</v>
      </c>
      <c r="S17" s="97" t="s">
        <v>66</v>
      </c>
      <c r="T17" s="98"/>
    </row>
    <row r="18" spans="1:20" ht="18" customHeight="1">
      <c r="A18" s="96">
        <v>1940</v>
      </c>
      <c r="B18" s="61">
        <v>8.1379999999999999</v>
      </c>
      <c r="C18" s="61">
        <v>7.88</v>
      </c>
      <c r="D18" s="61">
        <v>5.9189999999999996</v>
      </c>
      <c r="E18" s="61">
        <v>3.4390000000000001</v>
      </c>
      <c r="F18" s="22">
        <v>14</v>
      </c>
      <c r="G18" s="22">
        <v>12.6</v>
      </c>
      <c r="H18" s="22">
        <v>10.4</v>
      </c>
      <c r="I18" s="97" t="s">
        <v>65</v>
      </c>
      <c r="J18" s="97" t="s">
        <v>65</v>
      </c>
      <c r="K18" s="99">
        <f t="shared" si="4"/>
        <v>1.2189054726368331E-2</v>
      </c>
      <c r="L18" s="99">
        <f t="shared" si="1"/>
        <v>7.194244604316502E-3</v>
      </c>
      <c r="M18" s="85">
        <f t="shared" si="2"/>
        <v>2.3511904761904789E-2</v>
      </c>
      <c r="N18" s="85">
        <f t="shared" si="3"/>
        <v>9.7087378640776656E-3</v>
      </c>
      <c r="O18" s="97" t="s">
        <v>66</v>
      </c>
      <c r="P18" s="97" t="s">
        <v>66</v>
      </c>
      <c r="Q18" s="97" t="s">
        <v>66</v>
      </c>
      <c r="R18" s="97" t="s">
        <v>66</v>
      </c>
      <c r="S18" s="97" t="s">
        <v>66</v>
      </c>
      <c r="T18" s="98"/>
    </row>
    <row r="19" spans="1:20" ht="12.75" customHeight="1">
      <c r="A19" s="96">
        <v>1941</v>
      </c>
      <c r="B19" s="61">
        <v>8.6880000000000006</v>
      </c>
      <c r="C19" s="61">
        <v>8.3689999999999998</v>
      </c>
      <c r="D19" s="61">
        <v>6.1269999999999998</v>
      </c>
      <c r="E19" s="61">
        <v>3.5110000000000001</v>
      </c>
      <c r="F19" s="22">
        <v>14.7</v>
      </c>
      <c r="G19" s="22">
        <v>12.7</v>
      </c>
      <c r="H19" s="22">
        <v>10.4</v>
      </c>
      <c r="I19" s="97" t="s">
        <v>65</v>
      </c>
      <c r="J19" s="97" t="s">
        <v>65</v>
      </c>
      <c r="K19" s="99">
        <f t="shared" si="4"/>
        <v>6.7584173015482918E-2</v>
      </c>
      <c r="L19" s="99">
        <f t="shared" si="1"/>
        <v>5.0000000000000044E-2</v>
      </c>
      <c r="M19" s="85">
        <f t="shared" si="2"/>
        <v>2.093631869729573E-2</v>
      </c>
      <c r="N19" s="85">
        <f t="shared" si="3"/>
        <v>0</v>
      </c>
      <c r="O19" s="97" t="s">
        <v>66</v>
      </c>
      <c r="P19" s="97" t="s">
        <v>66</v>
      </c>
      <c r="Q19" s="97" t="s">
        <v>66</v>
      </c>
      <c r="R19" s="97" t="s">
        <v>66</v>
      </c>
      <c r="S19" s="97" t="s">
        <v>66</v>
      </c>
      <c r="T19" s="98"/>
    </row>
    <row r="20" spans="1:20" ht="12.75" customHeight="1">
      <c r="A20" s="96">
        <v>1942</v>
      </c>
      <c r="B20" s="61">
        <v>9.3770000000000007</v>
      </c>
      <c r="C20" s="61">
        <v>9.4120000000000008</v>
      </c>
      <c r="D20" s="61">
        <v>6.56</v>
      </c>
      <c r="E20" s="61">
        <v>3.6909999999999998</v>
      </c>
      <c r="F20" s="22">
        <v>16.3</v>
      </c>
      <c r="G20" s="22">
        <v>13.1</v>
      </c>
      <c r="H20" s="22">
        <v>10.7</v>
      </c>
      <c r="I20" s="97" t="s">
        <v>65</v>
      </c>
      <c r="J20" s="97" t="s">
        <v>65</v>
      </c>
      <c r="K20" s="99">
        <f t="shared" si="4"/>
        <v>7.9304788213627964E-2</v>
      </c>
      <c r="L20" s="99">
        <f t="shared" si="1"/>
        <v>0.10884353741496611</v>
      </c>
      <c r="M20" s="85">
        <f t="shared" si="2"/>
        <v>5.1267445172315407E-2</v>
      </c>
      <c r="N20" s="85">
        <f t="shared" si="3"/>
        <v>2.8846153846153744E-2</v>
      </c>
      <c r="O20" s="97" t="s">
        <v>66</v>
      </c>
      <c r="P20" s="97" t="s">
        <v>66</v>
      </c>
      <c r="Q20" s="97" t="s">
        <v>66</v>
      </c>
      <c r="R20" s="97" t="s">
        <v>66</v>
      </c>
      <c r="S20" s="97" t="s">
        <v>66</v>
      </c>
      <c r="T20" s="98"/>
    </row>
    <row r="21" spans="1:20" ht="12.75" customHeight="1">
      <c r="A21" s="96">
        <v>1943</v>
      </c>
      <c r="B21" s="61">
        <v>9.8030000000000008</v>
      </c>
      <c r="C21" s="61">
        <v>10.276999999999999</v>
      </c>
      <c r="D21" s="61">
        <v>6.9690000000000003</v>
      </c>
      <c r="E21" s="61">
        <v>3.9079999999999999</v>
      </c>
      <c r="F21" s="22">
        <v>17.3</v>
      </c>
      <c r="G21" s="22">
        <v>13.4</v>
      </c>
      <c r="H21" s="22">
        <v>11.2</v>
      </c>
      <c r="I21" s="97" t="s">
        <v>65</v>
      </c>
      <c r="J21" s="97" t="s">
        <v>65</v>
      </c>
      <c r="K21" s="99">
        <f t="shared" si="4"/>
        <v>4.5430308200917091E-2</v>
      </c>
      <c r="L21" s="99">
        <f t="shared" si="1"/>
        <v>6.1349693251533832E-2</v>
      </c>
      <c r="M21" s="85">
        <f t="shared" si="2"/>
        <v>5.8791655377946395E-2</v>
      </c>
      <c r="N21" s="85">
        <f t="shared" si="3"/>
        <v>4.6728971962616717E-2</v>
      </c>
      <c r="O21" s="97" t="s">
        <v>66</v>
      </c>
      <c r="P21" s="97" t="s">
        <v>66</v>
      </c>
      <c r="Q21" s="97" t="s">
        <v>66</v>
      </c>
      <c r="R21" s="97" t="s">
        <v>66</v>
      </c>
      <c r="S21" s="97" t="s">
        <v>66</v>
      </c>
      <c r="T21" s="98"/>
    </row>
    <row r="22" spans="1:20" ht="12.75" customHeight="1">
      <c r="A22" s="96">
        <v>1944</v>
      </c>
      <c r="B22" s="61">
        <v>10.036</v>
      </c>
      <c r="C22" s="61">
        <v>10.868</v>
      </c>
      <c r="D22" s="61">
        <v>7.29</v>
      </c>
      <c r="E22" s="61">
        <v>4.1210000000000004</v>
      </c>
      <c r="F22" s="22">
        <v>17.600000000000001</v>
      </c>
      <c r="G22" s="22">
        <v>13.7</v>
      </c>
      <c r="H22" s="22">
        <v>11.6</v>
      </c>
      <c r="I22" s="97" t="s">
        <v>65</v>
      </c>
      <c r="J22" s="97" t="s">
        <v>65</v>
      </c>
      <c r="K22" s="99">
        <f t="shared" si="4"/>
        <v>2.3768234214015971E-2</v>
      </c>
      <c r="L22" s="99">
        <f t="shared" si="1"/>
        <v>1.7341040462427681E-2</v>
      </c>
      <c r="M22" s="85">
        <f t="shared" si="2"/>
        <v>5.4503582395087236E-2</v>
      </c>
      <c r="N22" s="85">
        <f t="shared" si="3"/>
        <v>3.5714285714285809E-2</v>
      </c>
      <c r="O22" s="97" t="s">
        <v>66</v>
      </c>
      <c r="P22" s="97" t="s">
        <v>66</v>
      </c>
      <c r="Q22" s="97" t="s">
        <v>66</v>
      </c>
      <c r="R22" s="97" t="s">
        <v>66</v>
      </c>
      <c r="S22" s="97" t="s">
        <v>66</v>
      </c>
      <c r="T22" s="98"/>
    </row>
    <row r="23" spans="1:20" ht="12.75" customHeight="1">
      <c r="A23" s="96">
        <v>1945</v>
      </c>
      <c r="B23" s="61">
        <v>10.297000000000001</v>
      </c>
      <c r="C23" s="61">
        <v>11.303000000000001</v>
      </c>
      <c r="D23" s="61">
        <v>7.5279999999999996</v>
      </c>
      <c r="E23" s="61">
        <v>4.2610000000000001</v>
      </c>
      <c r="F23" s="22">
        <v>18</v>
      </c>
      <c r="G23" s="22">
        <v>13.9</v>
      </c>
      <c r="H23" s="22">
        <v>11.9</v>
      </c>
      <c r="I23" s="97" t="s">
        <v>65</v>
      </c>
      <c r="J23" s="97" t="s">
        <v>65</v>
      </c>
      <c r="K23" s="99">
        <f t="shared" si="4"/>
        <v>2.6006377042646633E-2</v>
      </c>
      <c r="L23" s="99">
        <f t="shared" si="1"/>
        <v>2.2727272727272707E-2</v>
      </c>
      <c r="M23" s="85">
        <f t="shared" si="2"/>
        <v>3.3972336811453507E-2</v>
      </c>
      <c r="N23" s="85">
        <f t="shared" si="3"/>
        <v>2.5862068965517349E-2</v>
      </c>
      <c r="O23" s="97" t="s">
        <v>66</v>
      </c>
      <c r="P23" s="97" t="s">
        <v>66</v>
      </c>
      <c r="Q23" s="97" t="s">
        <v>66</v>
      </c>
      <c r="R23" s="97" t="s">
        <v>66</v>
      </c>
      <c r="S23" s="97" t="s">
        <v>66</v>
      </c>
      <c r="T23" s="98"/>
    </row>
    <row r="24" spans="1:20" ht="12.75" customHeight="1">
      <c r="A24" s="96">
        <v>1946</v>
      </c>
      <c r="B24" s="61">
        <v>11.629</v>
      </c>
      <c r="C24" s="61">
        <v>12.09</v>
      </c>
      <c r="D24" s="61">
        <v>7.9850000000000003</v>
      </c>
      <c r="E24" s="61">
        <v>4.5430000000000001</v>
      </c>
      <c r="F24" s="22">
        <v>19.5</v>
      </c>
      <c r="G24" s="22">
        <v>14.1</v>
      </c>
      <c r="H24" s="22">
        <v>12.5</v>
      </c>
      <c r="I24" s="97" t="s">
        <v>65</v>
      </c>
      <c r="J24" s="97" t="s">
        <v>65</v>
      </c>
      <c r="K24" s="99">
        <f t="shared" si="4"/>
        <v>0.12935806545595785</v>
      </c>
      <c r="L24" s="99">
        <f t="shared" si="1"/>
        <v>8.3333333333333259E-2</v>
      </c>
      <c r="M24" s="85">
        <f t="shared" si="2"/>
        <v>6.6181647500586749E-2</v>
      </c>
      <c r="N24" s="85">
        <f t="shared" si="3"/>
        <v>5.0420168067226934E-2</v>
      </c>
      <c r="O24" s="97" t="s">
        <v>66</v>
      </c>
      <c r="P24" s="97" t="s">
        <v>66</v>
      </c>
      <c r="Q24" s="97" t="s">
        <v>66</v>
      </c>
      <c r="R24" s="97" t="s">
        <v>66</v>
      </c>
      <c r="S24" s="97" t="s">
        <v>66</v>
      </c>
      <c r="T24" s="98"/>
    </row>
    <row r="25" spans="1:20" ht="12.75" customHeight="1">
      <c r="A25" s="96">
        <v>1947</v>
      </c>
      <c r="B25" s="61">
        <v>12.9</v>
      </c>
      <c r="C25" s="61">
        <v>13.316000000000001</v>
      </c>
      <c r="D25" s="61">
        <v>8.5679999999999996</v>
      </c>
      <c r="E25" s="61">
        <v>4.9880000000000004</v>
      </c>
      <c r="F25" s="22">
        <v>22.3</v>
      </c>
      <c r="G25" s="22">
        <v>14.7</v>
      </c>
      <c r="H25" s="22">
        <v>13.5</v>
      </c>
      <c r="I25" s="97" t="s">
        <v>65</v>
      </c>
      <c r="J25" s="97" t="s">
        <v>65</v>
      </c>
      <c r="K25" s="99">
        <f t="shared" si="4"/>
        <v>0.10929572620173711</v>
      </c>
      <c r="L25" s="99">
        <f t="shared" si="1"/>
        <v>0.14358974358974352</v>
      </c>
      <c r="M25" s="85">
        <f t="shared" si="2"/>
        <v>9.7952894563064108E-2</v>
      </c>
      <c r="N25" s="85">
        <f t="shared" si="3"/>
        <v>8.0000000000000071E-2</v>
      </c>
      <c r="O25" s="97" t="s">
        <v>66</v>
      </c>
      <c r="P25" s="97" t="s">
        <v>66</v>
      </c>
      <c r="Q25" s="97" t="s">
        <v>66</v>
      </c>
      <c r="R25" s="97" t="s">
        <v>66</v>
      </c>
      <c r="S25" s="97" t="s">
        <v>66</v>
      </c>
      <c r="T25" s="98"/>
    </row>
    <row r="26" spans="1:20" ht="12.75" customHeight="1">
      <c r="A26" s="96">
        <v>1948</v>
      </c>
      <c r="B26" s="61">
        <v>13.618</v>
      </c>
      <c r="C26" s="61">
        <v>14.069000000000001</v>
      </c>
      <c r="D26" s="61">
        <v>9.0190000000000001</v>
      </c>
      <c r="E26" s="61">
        <v>5.2670000000000003</v>
      </c>
      <c r="F26" s="22">
        <v>24.1</v>
      </c>
      <c r="G26" s="22">
        <v>15.6</v>
      </c>
      <c r="H26" s="22">
        <v>14.4</v>
      </c>
      <c r="I26" s="97" t="s">
        <v>65</v>
      </c>
      <c r="J26" s="97" t="s">
        <v>65</v>
      </c>
      <c r="K26" s="99">
        <f t="shared" si="4"/>
        <v>5.5658914728682118E-2</v>
      </c>
      <c r="L26" s="99">
        <f t="shared" si="1"/>
        <v>8.0717488789237679E-2</v>
      </c>
      <c r="M26" s="85">
        <f t="shared" si="2"/>
        <v>5.5934242181234994E-2</v>
      </c>
      <c r="N26" s="85">
        <f t="shared" si="3"/>
        <v>6.6666666666666652E-2</v>
      </c>
      <c r="O26" s="97" t="s">
        <v>66</v>
      </c>
      <c r="P26" s="97" t="s">
        <v>66</v>
      </c>
      <c r="Q26" s="97" t="s">
        <v>66</v>
      </c>
      <c r="R26" s="97" t="s">
        <v>66</v>
      </c>
      <c r="S26" s="97" t="s">
        <v>66</v>
      </c>
      <c r="T26" s="98"/>
    </row>
    <row r="27" spans="1:20" ht="12.75" customHeight="1">
      <c r="A27" s="96">
        <v>1949</v>
      </c>
      <c r="B27" s="61">
        <v>13.593999999999999</v>
      </c>
      <c r="C27" s="61">
        <v>13.96</v>
      </c>
      <c r="D27" s="61">
        <v>9.173</v>
      </c>
      <c r="E27" s="61">
        <v>5.3490000000000002</v>
      </c>
      <c r="F27" s="22">
        <v>23.8</v>
      </c>
      <c r="G27" s="22">
        <v>16.399999999999999</v>
      </c>
      <c r="H27" s="22">
        <v>14.8</v>
      </c>
      <c r="I27" s="97" t="s">
        <v>65</v>
      </c>
      <c r="J27" s="97" t="s">
        <v>65</v>
      </c>
      <c r="K27" s="99">
        <f t="shared" si="4"/>
        <v>-1.7623733294169774E-3</v>
      </c>
      <c r="L27" s="99">
        <f t="shared" si="1"/>
        <v>-1.2448132780083054E-2</v>
      </c>
      <c r="M27" s="85">
        <f t="shared" si="2"/>
        <v>1.5568634896525602E-2</v>
      </c>
      <c r="N27" s="85">
        <f t="shared" si="3"/>
        <v>2.7777777777777901E-2</v>
      </c>
      <c r="O27" s="97" t="s">
        <v>66</v>
      </c>
      <c r="P27" s="97" t="s">
        <v>66</v>
      </c>
      <c r="Q27" s="97" t="s">
        <v>66</v>
      </c>
      <c r="R27" s="97" t="s">
        <v>66</v>
      </c>
      <c r="S27" s="97" t="s">
        <v>66</v>
      </c>
      <c r="T27" s="98"/>
    </row>
    <row r="28" spans="1:20" ht="18" customHeight="1">
      <c r="A28" s="96">
        <v>1950</v>
      </c>
      <c r="B28" s="61">
        <v>13.759</v>
      </c>
      <c r="C28" s="61">
        <v>14.127000000000001</v>
      </c>
      <c r="D28" s="61">
        <v>9.4090000000000007</v>
      </c>
      <c r="E28" s="61">
        <v>5.4489999999999998</v>
      </c>
      <c r="F28" s="22">
        <v>24.1</v>
      </c>
      <c r="G28" s="22">
        <v>16.899999999999999</v>
      </c>
      <c r="H28" s="22">
        <v>15.1</v>
      </c>
      <c r="I28" s="97" t="s">
        <v>65</v>
      </c>
      <c r="J28" s="97" t="s">
        <v>65</v>
      </c>
      <c r="K28" s="99">
        <f t="shared" si="4"/>
        <v>1.2137707812270193E-2</v>
      </c>
      <c r="L28" s="99">
        <f t="shared" si="1"/>
        <v>1.2605042016806678E-2</v>
      </c>
      <c r="M28" s="85">
        <f t="shared" si="2"/>
        <v>1.8695083193120077E-2</v>
      </c>
      <c r="N28" s="85">
        <f t="shared" si="3"/>
        <v>2.0270270270270174E-2</v>
      </c>
      <c r="O28" s="97" t="s">
        <v>66</v>
      </c>
      <c r="P28" s="97" t="s">
        <v>66</v>
      </c>
      <c r="Q28" s="97" t="s">
        <v>66</v>
      </c>
      <c r="R28" s="97" t="s">
        <v>66</v>
      </c>
      <c r="S28" s="97" t="s">
        <v>66</v>
      </c>
      <c r="T28" s="98"/>
    </row>
    <row r="29" spans="1:20" ht="12.75" customHeight="1">
      <c r="A29" s="96">
        <v>1951</v>
      </c>
      <c r="B29" s="61">
        <v>14.73</v>
      </c>
      <c r="C29" s="61">
        <v>15.089</v>
      </c>
      <c r="D29" s="61">
        <v>9.8719999999999999</v>
      </c>
      <c r="E29" s="61">
        <v>5.6890000000000001</v>
      </c>
      <c r="F29" s="22">
        <v>26</v>
      </c>
      <c r="G29" s="22">
        <v>17.8</v>
      </c>
      <c r="H29" s="22">
        <v>15.9</v>
      </c>
      <c r="I29" s="97" t="s">
        <v>65</v>
      </c>
      <c r="J29" s="97" t="s">
        <v>65</v>
      </c>
      <c r="K29" s="99">
        <f t="shared" si="4"/>
        <v>7.0571989243404243E-2</v>
      </c>
      <c r="L29" s="99">
        <f t="shared" si="1"/>
        <v>7.8838174273858863E-2</v>
      </c>
      <c r="M29" s="85">
        <f t="shared" si="2"/>
        <v>4.4044778858506106E-2</v>
      </c>
      <c r="N29" s="85">
        <f t="shared" si="3"/>
        <v>5.2980132450331174E-2</v>
      </c>
      <c r="O29" s="97" t="s">
        <v>66</v>
      </c>
      <c r="P29" s="97" t="s">
        <v>66</v>
      </c>
      <c r="Q29" s="97" t="s">
        <v>66</v>
      </c>
      <c r="R29" s="97" t="s">
        <v>66</v>
      </c>
      <c r="S29" s="97" t="s">
        <v>66</v>
      </c>
      <c r="T29" s="98"/>
    </row>
    <row r="30" spans="1:20" ht="12.75" customHeight="1">
      <c r="A30" s="96">
        <v>1952</v>
      </c>
      <c r="B30" s="61">
        <v>14.986000000000001</v>
      </c>
      <c r="C30" s="61">
        <v>15.398</v>
      </c>
      <c r="D30" s="61">
        <v>10.231999999999999</v>
      </c>
      <c r="E30" s="61">
        <v>5.915</v>
      </c>
      <c r="F30" s="22">
        <v>26.5</v>
      </c>
      <c r="G30" s="22">
        <v>18.600000000000001</v>
      </c>
      <c r="H30" s="22">
        <v>16.7</v>
      </c>
      <c r="I30" s="97" t="s">
        <v>65</v>
      </c>
      <c r="J30" s="97" t="s">
        <v>65</v>
      </c>
      <c r="K30" s="99">
        <f t="shared" si="4"/>
        <v>1.7379497623896789E-2</v>
      </c>
      <c r="L30" s="99">
        <f t="shared" si="1"/>
        <v>1.9230769230769162E-2</v>
      </c>
      <c r="M30" s="85">
        <f t="shared" si="2"/>
        <v>3.972578660573034E-2</v>
      </c>
      <c r="N30" s="85">
        <f t="shared" si="3"/>
        <v>5.031446540880502E-2</v>
      </c>
      <c r="O30" s="97" t="s">
        <v>66</v>
      </c>
      <c r="P30" s="97" t="s">
        <v>66</v>
      </c>
      <c r="Q30" s="97" t="s">
        <v>66</v>
      </c>
      <c r="R30" s="97" t="s">
        <v>66</v>
      </c>
      <c r="S30" s="97" t="s">
        <v>66</v>
      </c>
      <c r="T30" s="98"/>
    </row>
    <row r="31" spans="1:20" ht="12.75" customHeight="1">
      <c r="A31" s="96">
        <v>1953</v>
      </c>
      <c r="B31" s="61">
        <v>15.170999999999999</v>
      </c>
      <c r="C31" s="61">
        <v>15.603</v>
      </c>
      <c r="D31" s="61">
        <v>10.63</v>
      </c>
      <c r="E31" s="61">
        <v>6.1310000000000002</v>
      </c>
      <c r="F31" s="22">
        <v>26.7</v>
      </c>
      <c r="G31" s="22">
        <v>19.399999999999999</v>
      </c>
      <c r="H31" s="22">
        <v>17.3</v>
      </c>
      <c r="I31" s="97" t="s">
        <v>65</v>
      </c>
      <c r="J31" s="97" t="s">
        <v>65</v>
      </c>
      <c r="K31" s="99">
        <f t="shared" si="4"/>
        <v>1.2344855198184845E-2</v>
      </c>
      <c r="L31" s="99">
        <f t="shared" si="1"/>
        <v>7.547169811320753E-3</v>
      </c>
      <c r="M31" s="85">
        <f t="shared" si="2"/>
        <v>3.6517328825021123E-2</v>
      </c>
      <c r="N31" s="85">
        <f t="shared" si="3"/>
        <v>3.5928143712574911E-2</v>
      </c>
      <c r="O31" s="97" t="s">
        <v>66</v>
      </c>
      <c r="P31" s="97" t="s">
        <v>66</v>
      </c>
      <c r="Q31" s="97" t="s">
        <v>66</v>
      </c>
      <c r="R31" s="97" t="s">
        <v>66</v>
      </c>
      <c r="S31" s="97" t="s">
        <v>66</v>
      </c>
      <c r="T31" s="98"/>
    </row>
    <row r="32" spans="1:20" ht="12.75" customHeight="1">
      <c r="A32" s="96">
        <v>1954</v>
      </c>
      <c r="B32" s="61">
        <v>15.313000000000001</v>
      </c>
      <c r="C32" s="61">
        <v>15.734999999999999</v>
      </c>
      <c r="D32" s="61">
        <v>10.898</v>
      </c>
      <c r="E32" s="61">
        <v>6.3010000000000002</v>
      </c>
      <c r="F32" s="22">
        <v>26.9</v>
      </c>
      <c r="G32" s="22">
        <v>20</v>
      </c>
      <c r="H32" s="22">
        <v>17.8</v>
      </c>
      <c r="I32" s="97" t="s">
        <v>65</v>
      </c>
      <c r="J32" s="97" t="s">
        <v>65</v>
      </c>
      <c r="K32" s="99">
        <f t="shared" si="4"/>
        <v>9.3599630874696693E-3</v>
      </c>
      <c r="L32" s="99">
        <f t="shared" si="1"/>
        <v>7.4906367041198685E-3</v>
      </c>
      <c r="M32" s="85">
        <f t="shared" si="2"/>
        <v>2.7727939977165272E-2</v>
      </c>
      <c r="N32" s="85">
        <f t="shared" si="3"/>
        <v>2.8901734104046284E-2</v>
      </c>
      <c r="O32" s="97" t="s">
        <v>66</v>
      </c>
      <c r="P32" s="97" t="s">
        <v>66</v>
      </c>
      <c r="Q32" s="97" t="s">
        <v>66</v>
      </c>
      <c r="R32" s="97" t="s">
        <v>66</v>
      </c>
      <c r="S32" s="97" t="s">
        <v>66</v>
      </c>
      <c r="T32" s="98"/>
    </row>
    <row r="33" spans="1:20" ht="12.75" customHeight="1">
      <c r="A33" s="96">
        <v>1955</v>
      </c>
      <c r="B33" s="61">
        <v>15.574</v>
      </c>
      <c r="C33" s="61">
        <v>15.798999999999999</v>
      </c>
      <c r="D33" s="61">
        <v>11.086</v>
      </c>
      <c r="E33" s="61">
        <v>6.4889999999999999</v>
      </c>
      <c r="F33" s="22">
        <v>26.8</v>
      </c>
      <c r="G33" s="22">
        <v>20.399999999999999</v>
      </c>
      <c r="H33" s="22">
        <v>18.2</v>
      </c>
      <c r="I33" s="97" t="s">
        <v>65</v>
      </c>
      <c r="J33" s="97" t="s">
        <v>65</v>
      </c>
      <c r="K33" s="99">
        <f t="shared" si="4"/>
        <v>1.7044341409260033E-2</v>
      </c>
      <c r="L33" s="99">
        <f t="shared" si="1"/>
        <v>-3.7174721189590088E-3</v>
      </c>
      <c r="M33" s="85">
        <f t="shared" si="2"/>
        <v>2.9836533883510485E-2</v>
      </c>
      <c r="N33" s="85">
        <f t="shared" si="3"/>
        <v>2.2471910112359383E-2</v>
      </c>
      <c r="O33" s="97" t="s">
        <v>66</v>
      </c>
      <c r="P33" s="97" t="s">
        <v>66</v>
      </c>
      <c r="Q33" s="97" t="s">
        <v>66</v>
      </c>
      <c r="R33" s="97" t="s">
        <v>66</v>
      </c>
      <c r="S33" s="97" t="s">
        <v>66</v>
      </c>
      <c r="T33" s="98"/>
    </row>
    <row r="34" spans="1:20" ht="12.75" customHeight="1">
      <c r="A34" s="96">
        <v>1956</v>
      </c>
      <c r="B34" s="61">
        <v>16.106000000000002</v>
      </c>
      <c r="C34" s="61">
        <v>16.116</v>
      </c>
      <c r="D34" s="61">
        <v>11.352</v>
      </c>
      <c r="E34" s="61">
        <v>6.6980000000000004</v>
      </c>
      <c r="F34" s="22">
        <v>27.2</v>
      </c>
      <c r="G34" s="22">
        <v>20.9</v>
      </c>
      <c r="H34" s="22">
        <v>18.899999999999999</v>
      </c>
      <c r="I34" s="97" t="s">
        <v>65</v>
      </c>
      <c r="J34" s="97" t="s">
        <v>65</v>
      </c>
      <c r="K34" s="99">
        <f t="shared" si="4"/>
        <v>3.4159496596892325E-2</v>
      </c>
      <c r="L34" s="99">
        <f t="shared" si="1"/>
        <v>1.4925373134328401E-2</v>
      </c>
      <c r="M34" s="85">
        <f t="shared" si="2"/>
        <v>3.2208352596702294E-2</v>
      </c>
      <c r="N34" s="85">
        <f t="shared" si="3"/>
        <v>3.8461538461538325E-2</v>
      </c>
      <c r="O34" s="97" t="s">
        <v>66</v>
      </c>
      <c r="P34" s="97" t="s">
        <v>66</v>
      </c>
      <c r="Q34" s="97" t="s">
        <v>66</v>
      </c>
      <c r="R34" s="97" t="s">
        <v>66</v>
      </c>
      <c r="S34" s="97" t="s">
        <v>66</v>
      </c>
      <c r="T34" s="98"/>
    </row>
    <row r="35" spans="1:20" ht="12.75" customHeight="1">
      <c r="A35" s="96">
        <v>1957</v>
      </c>
      <c r="B35" s="61">
        <v>16.640999999999998</v>
      </c>
      <c r="C35" s="61">
        <v>16.605</v>
      </c>
      <c r="D35" s="61">
        <v>11.683</v>
      </c>
      <c r="E35" s="61">
        <v>6.9630000000000001</v>
      </c>
      <c r="F35" s="22">
        <v>28.1</v>
      </c>
      <c r="G35" s="22">
        <v>21.8</v>
      </c>
      <c r="H35" s="22">
        <v>19.7</v>
      </c>
      <c r="I35" s="97" t="s">
        <v>65</v>
      </c>
      <c r="J35" s="97" t="s">
        <v>65</v>
      </c>
      <c r="K35" s="99">
        <f t="shared" si="4"/>
        <v>3.3217434496460641E-2</v>
      </c>
      <c r="L35" s="99">
        <f t="shared" si="1"/>
        <v>3.3088235294117752E-2</v>
      </c>
      <c r="M35" s="85">
        <f t="shared" si="2"/>
        <v>3.956404896984167E-2</v>
      </c>
      <c r="N35" s="85">
        <f t="shared" si="3"/>
        <v>4.2328042328042326E-2</v>
      </c>
      <c r="O35" s="97" t="s">
        <v>66</v>
      </c>
      <c r="P35" s="97" t="s">
        <v>66</v>
      </c>
      <c r="Q35" s="97" t="s">
        <v>66</v>
      </c>
      <c r="R35" s="97" t="s">
        <v>66</v>
      </c>
      <c r="S35" s="97" t="s">
        <v>66</v>
      </c>
      <c r="T35" s="98"/>
    </row>
    <row r="36" spans="1:20" ht="12.75" customHeight="1">
      <c r="A36" s="96">
        <v>1958</v>
      </c>
      <c r="B36" s="61">
        <v>17.018000000000001</v>
      </c>
      <c r="C36" s="61">
        <v>16.995999999999999</v>
      </c>
      <c r="D36" s="61">
        <v>11.97</v>
      </c>
      <c r="E36" s="61">
        <v>7.218</v>
      </c>
      <c r="F36" s="22">
        <v>28.9</v>
      </c>
      <c r="G36" s="22">
        <v>22.6</v>
      </c>
      <c r="H36" s="22">
        <v>20.6</v>
      </c>
      <c r="I36" s="97" t="s">
        <v>65</v>
      </c>
      <c r="J36" s="97" t="s">
        <v>65</v>
      </c>
      <c r="K36" s="99">
        <f t="shared" si="4"/>
        <v>2.265488852833375E-2</v>
      </c>
      <c r="L36" s="99">
        <f t="shared" si="1"/>
        <v>2.8469750889679624E-2</v>
      </c>
      <c r="M36" s="85">
        <f t="shared" si="2"/>
        <v>3.6622145626884928E-2</v>
      </c>
      <c r="N36" s="85">
        <f t="shared" si="3"/>
        <v>4.5685279187817285E-2</v>
      </c>
      <c r="O36" s="97" t="s">
        <v>66</v>
      </c>
      <c r="P36" s="97" t="s">
        <v>66</v>
      </c>
      <c r="Q36" s="97" t="s">
        <v>66</v>
      </c>
      <c r="R36" s="97" t="s">
        <v>66</v>
      </c>
      <c r="S36" s="97" t="s">
        <v>66</v>
      </c>
      <c r="T36" s="98"/>
    </row>
    <row r="37" spans="1:20" ht="12.75" customHeight="1">
      <c r="A37" s="96">
        <v>1959</v>
      </c>
      <c r="B37" s="61">
        <v>17.254000000000001</v>
      </c>
      <c r="C37" s="61">
        <v>17.251000000000001</v>
      </c>
      <c r="D37" s="61">
        <v>12.292999999999999</v>
      </c>
      <c r="E37" s="61">
        <v>7.4029999999999996</v>
      </c>
      <c r="F37" s="22">
        <v>29.1</v>
      </c>
      <c r="G37" s="22">
        <v>23.3</v>
      </c>
      <c r="H37" s="22">
        <v>21.5</v>
      </c>
      <c r="I37" s="97" t="s">
        <v>65</v>
      </c>
      <c r="J37" s="97" t="s">
        <v>65</v>
      </c>
      <c r="K37" s="99">
        <f t="shared" si="4"/>
        <v>1.3867669526383963E-2</v>
      </c>
      <c r="L37" s="99">
        <f t="shared" si="1"/>
        <v>6.9204152249136008E-3</v>
      </c>
      <c r="M37" s="85">
        <f t="shared" si="2"/>
        <v>2.5630368523136493E-2</v>
      </c>
      <c r="N37" s="85">
        <f t="shared" si="3"/>
        <v>4.3689320388349495E-2</v>
      </c>
      <c r="O37" s="97" t="s">
        <v>66</v>
      </c>
      <c r="P37" s="97" t="s">
        <v>66</v>
      </c>
      <c r="Q37" s="97" t="s">
        <v>66</v>
      </c>
      <c r="R37" s="97" t="s">
        <v>66</v>
      </c>
      <c r="S37" s="97" t="s">
        <v>66</v>
      </c>
      <c r="T37" s="98"/>
    </row>
    <row r="38" spans="1:20" ht="18" customHeight="1">
      <c r="A38" s="96">
        <v>1960</v>
      </c>
      <c r="B38" s="61">
        <v>17.492999999999999</v>
      </c>
      <c r="C38" s="61">
        <v>17.535</v>
      </c>
      <c r="D38" s="61">
        <v>12.619</v>
      </c>
      <c r="E38" s="61">
        <v>7.7939999999999996</v>
      </c>
      <c r="F38" s="22">
        <v>29.6</v>
      </c>
      <c r="G38" s="22">
        <v>24.1</v>
      </c>
      <c r="H38" s="22">
        <v>22.3</v>
      </c>
      <c r="I38" s="97">
        <f>D213</f>
        <v>6.9024403232625469</v>
      </c>
      <c r="J38" s="97">
        <f>E213</f>
        <v>7.7732049824242537</v>
      </c>
      <c r="K38" s="99">
        <f t="shared" si="4"/>
        <v>1.3851860438159003E-2</v>
      </c>
      <c r="L38" s="99">
        <f t="shared" si="1"/>
        <v>1.7182130584192379E-2</v>
      </c>
      <c r="M38" s="85">
        <f t="shared" si="2"/>
        <v>5.2816425773335229E-2</v>
      </c>
      <c r="N38" s="85">
        <f t="shared" si="3"/>
        <v>3.7209302325581506E-2</v>
      </c>
      <c r="O38" s="97" t="s">
        <v>66</v>
      </c>
      <c r="P38" s="97" t="s">
        <v>66</v>
      </c>
      <c r="Q38" s="97" t="s">
        <v>66</v>
      </c>
      <c r="R38" s="97" t="s">
        <v>66</v>
      </c>
      <c r="S38" s="97" t="s">
        <v>66</v>
      </c>
      <c r="T38" s="98"/>
    </row>
    <row r="39" spans="1:20" ht="12.75" customHeight="1">
      <c r="A39" s="96">
        <v>1961</v>
      </c>
      <c r="B39" s="61">
        <v>17.686</v>
      </c>
      <c r="C39" s="61">
        <v>17.719000000000001</v>
      </c>
      <c r="D39" s="61">
        <v>12.847</v>
      </c>
      <c r="E39" s="61">
        <v>7.9020000000000001</v>
      </c>
      <c r="F39" s="22">
        <v>29.9</v>
      </c>
      <c r="G39" s="22">
        <v>24.5</v>
      </c>
      <c r="H39" s="22">
        <v>22.9</v>
      </c>
      <c r="I39" s="100">
        <f>I38*(I$43/I$38)^0.2</f>
        <v>7.4493748926346353</v>
      </c>
      <c r="J39" s="101">
        <f>J40*I39/I40</f>
        <v>8.356197977933407</v>
      </c>
      <c r="K39" s="99">
        <f t="shared" si="4"/>
        <v>1.1032984622420416E-2</v>
      </c>
      <c r="L39" s="99">
        <f t="shared" si="1"/>
        <v>1.0135135135135087E-2</v>
      </c>
      <c r="M39" s="85">
        <f t="shared" si="2"/>
        <v>1.3856812933025431E-2</v>
      </c>
      <c r="N39" s="85">
        <f t="shared" si="3"/>
        <v>2.6905829596412412E-2</v>
      </c>
      <c r="O39" s="102">
        <f t="shared" si="3"/>
        <v>7.9237855563750959E-2</v>
      </c>
      <c r="P39" s="103">
        <f>($J39/$J38-1)</f>
        <v>7.5000337290389352E-2</v>
      </c>
      <c r="Q39" s="54">
        <f t="shared" ref="Q39:S54" si="5">($J39/$J38-1)/M39</f>
        <v>5.4125243411230874</v>
      </c>
      <c r="R39" s="54">
        <f t="shared" si="5"/>
        <v>2.7875125359594857</v>
      </c>
      <c r="S39" s="54">
        <f t="shared" si="5"/>
        <v>0.94652154272458444</v>
      </c>
      <c r="T39" s="98"/>
    </row>
    <row r="40" spans="1:20" ht="12.75" customHeight="1">
      <c r="A40" s="96">
        <v>1962</v>
      </c>
      <c r="B40" s="61">
        <v>17.902999999999999</v>
      </c>
      <c r="C40" s="61">
        <v>17.927</v>
      </c>
      <c r="D40" s="61">
        <v>13.092000000000001</v>
      </c>
      <c r="E40" s="61">
        <v>8.0180000000000007</v>
      </c>
      <c r="F40" s="22">
        <v>30.2</v>
      </c>
      <c r="G40" s="22">
        <v>25</v>
      </c>
      <c r="H40" s="22">
        <v>23.5</v>
      </c>
      <c r="I40" s="100">
        <f>I39*(I$43/I$38)^0.2</f>
        <v>8.0396473844174512</v>
      </c>
      <c r="J40" s="101">
        <f>J41*I40/I41</f>
        <v>9.018325186371003</v>
      </c>
      <c r="K40" s="99">
        <f t="shared" si="4"/>
        <v>1.2269591767499755E-2</v>
      </c>
      <c r="L40" s="99">
        <f t="shared" si="1"/>
        <v>1.0033444816053505E-2</v>
      </c>
      <c r="M40" s="85">
        <f t="shared" si="2"/>
        <v>1.4679827891673103E-2</v>
      </c>
      <c r="N40" s="85">
        <f t="shared" ref="N40:O71" si="6">H40/H39-1</f>
        <v>2.6200873362445476E-2</v>
      </c>
      <c r="O40" s="102">
        <f t="shared" si="6"/>
        <v>7.9237855563750959E-2</v>
      </c>
      <c r="P40" s="103">
        <f t="shared" ref="P40:P99" si="7">($J40/$J39-1)</f>
        <v>7.9237855563750959E-2</v>
      </c>
      <c r="Q40" s="54">
        <f t="shared" si="5"/>
        <v>5.3977373677996159</v>
      </c>
      <c r="R40" s="54">
        <f t="shared" si="5"/>
        <v>3.0242448206831547</v>
      </c>
      <c r="S40" s="54">
        <f t="shared" si="5"/>
        <v>1</v>
      </c>
      <c r="T40" s="98"/>
    </row>
    <row r="41" spans="1:20" ht="12.75" customHeight="1">
      <c r="A41" s="96">
        <v>1963</v>
      </c>
      <c r="B41" s="61">
        <v>18.105</v>
      </c>
      <c r="C41" s="61">
        <v>18.137</v>
      </c>
      <c r="D41" s="61">
        <v>13.292999999999999</v>
      </c>
      <c r="E41" s="61">
        <v>8.173</v>
      </c>
      <c r="F41" s="22">
        <v>30.6</v>
      </c>
      <c r="G41" s="22">
        <v>25.5</v>
      </c>
      <c r="H41" s="22">
        <v>24.1</v>
      </c>
      <c r="I41" s="100">
        <f>I40*(I$43/I$38)^0.2</f>
        <v>8.6766918026474098</v>
      </c>
      <c r="J41" s="101">
        <f>J42*I41/I42</f>
        <v>9.7329179349156068</v>
      </c>
      <c r="K41" s="99">
        <f t="shared" si="4"/>
        <v>1.1283025191308749E-2</v>
      </c>
      <c r="L41" s="99">
        <f t="shared" si="1"/>
        <v>1.3245033112582849E-2</v>
      </c>
      <c r="M41" s="85">
        <f t="shared" si="2"/>
        <v>1.9331504115739584E-2</v>
      </c>
      <c r="N41" s="85">
        <f t="shared" si="6"/>
        <v>2.5531914893617058E-2</v>
      </c>
      <c r="O41" s="102">
        <f t="shared" si="6"/>
        <v>7.9237855563750959E-2</v>
      </c>
      <c r="P41" s="103">
        <f t="shared" si="7"/>
        <v>7.9237855563750959E-2</v>
      </c>
      <c r="Q41" s="54">
        <f t="shared" si="5"/>
        <v>4.0988975865171309</v>
      </c>
      <c r="R41" s="54">
        <f t="shared" si="5"/>
        <v>3.1034826762469079</v>
      </c>
      <c r="S41" s="54">
        <f t="shared" si="5"/>
        <v>1</v>
      </c>
      <c r="T41" s="98"/>
    </row>
    <row r="42" spans="1:20" ht="12.75" customHeight="1">
      <c r="A42" s="96">
        <v>1964</v>
      </c>
      <c r="B42" s="61">
        <v>18.382999999999999</v>
      </c>
      <c r="C42" s="61">
        <v>18.402999999999999</v>
      </c>
      <c r="D42" s="61">
        <v>13.541</v>
      </c>
      <c r="E42" s="61">
        <v>8.391</v>
      </c>
      <c r="F42" s="22">
        <v>31</v>
      </c>
      <c r="G42" s="22">
        <v>26</v>
      </c>
      <c r="H42" s="22">
        <v>24.6</v>
      </c>
      <c r="I42" s="100">
        <f>I41*(I$43/I$38)^0.2</f>
        <v>9.3642142544767673</v>
      </c>
      <c r="J42" s="101">
        <f>J43*I42/I43</f>
        <v>10.504133480456291</v>
      </c>
      <c r="K42" s="99">
        <f t="shared" si="4"/>
        <v>1.5354874344103875E-2</v>
      </c>
      <c r="L42" s="99">
        <f t="shared" si="1"/>
        <v>1.3071895424836555E-2</v>
      </c>
      <c r="M42" s="85">
        <f t="shared" si="2"/>
        <v>2.6673192218279684E-2</v>
      </c>
      <c r="N42" s="85">
        <f t="shared" si="6"/>
        <v>2.0746887966804906E-2</v>
      </c>
      <c r="O42" s="102">
        <f t="shared" si="6"/>
        <v>7.9237855563750959E-2</v>
      </c>
      <c r="P42" s="103">
        <f t="shared" si="7"/>
        <v>7.9237855563750959E-2</v>
      </c>
      <c r="Q42" s="54">
        <f t="shared" si="5"/>
        <v>2.9706926308373256</v>
      </c>
      <c r="R42" s="54">
        <f t="shared" si="5"/>
        <v>3.8192646381728097</v>
      </c>
      <c r="S42" s="54">
        <f t="shared" si="5"/>
        <v>1</v>
      </c>
      <c r="T42" s="98"/>
    </row>
    <row r="43" spans="1:20" ht="12.75" customHeight="1">
      <c r="A43" s="96">
        <v>1965</v>
      </c>
      <c r="B43" s="61">
        <v>18.72</v>
      </c>
      <c r="C43" s="61">
        <v>18.669</v>
      </c>
      <c r="D43" s="61">
        <v>13.795</v>
      </c>
      <c r="E43" s="61">
        <v>8.6020000000000003</v>
      </c>
      <c r="F43" s="22">
        <v>31.5</v>
      </c>
      <c r="G43" s="22">
        <v>26.6</v>
      </c>
      <c r="H43" s="22">
        <v>25.2</v>
      </c>
      <c r="I43" s="100">
        <f>D214</f>
        <v>10.106214511041012</v>
      </c>
      <c r="J43" s="100">
        <f>E214</f>
        <v>11.336458492003045</v>
      </c>
      <c r="K43" s="99">
        <f t="shared" si="4"/>
        <v>1.8332154708154302E-2</v>
      </c>
      <c r="L43" s="99">
        <f t="shared" si="1"/>
        <v>1.6129032258064502E-2</v>
      </c>
      <c r="M43" s="85">
        <f t="shared" si="2"/>
        <v>2.5145989750923636E-2</v>
      </c>
      <c r="N43" s="85">
        <f t="shared" si="6"/>
        <v>2.4390243902439046E-2</v>
      </c>
      <c r="O43" s="102">
        <f t="shared" si="6"/>
        <v>7.9237855563750514E-2</v>
      </c>
      <c r="P43" s="103">
        <f t="shared" si="7"/>
        <v>7.9237855563750736E-2</v>
      </c>
      <c r="Q43" s="54">
        <f t="shared" si="5"/>
        <v>3.1511130143859321</v>
      </c>
      <c r="R43" s="54">
        <f t="shared" si="5"/>
        <v>3.2487520781137773</v>
      </c>
      <c r="S43" s="54">
        <f t="shared" si="5"/>
        <v>1.0000000000000029</v>
      </c>
      <c r="T43" s="98"/>
    </row>
    <row r="44" spans="1:20" ht="12.75" customHeight="1">
      <c r="A44" s="96">
        <v>1966</v>
      </c>
      <c r="B44" s="61">
        <v>19.245999999999999</v>
      </c>
      <c r="C44" s="61">
        <v>19.143000000000001</v>
      </c>
      <c r="D44" s="61">
        <v>14.195</v>
      </c>
      <c r="E44" s="61">
        <v>8.923</v>
      </c>
      <c r="F44" s="22">
        <v>32.4</v>
      </c>
      <c r="G44" s="22">
        <v>27.6</v>
      </c>
      <c r="H44" s="22">
        <v>26.3</v>
      </c>
      <c r="I44" s="100">
        <f>I43*(I$48/I$43)^0.2</f>
        <v>10.682634057209874</v>
      </c>
      <c r="J44" s="101">
        <f>J45*I44/I45</f>
        <v>12.010301606216734</v>
      </c>
      <c r="K44" s="99">
        <f t="shared" si="4"/>
        <v>2.8098290598290498E-2</v>
      </c>
      <c r="L44" s="99">
        <f t="shared" si="1"/>
        <v>2.857142857142847E-2</v>
      </c>
      <c r="M44" s="85">
        <f t="shared" si="2"/>
        <v>3.7316903045803373E-2</v>
      </c>
      <c r="N44" s="85">
        <f t="shared" si="6"/>
        <v>4.3650793650793718E-2</v>
      </c>
      <c r="O44" s="102">
        <f t="shared" si="6"/>
        <v>5.7036147960161099E-2</v>
      </c>
      <c r="P44" s="103">
        <f t="shared" si="7"/>
        <v>5.9440354735919687E-2</v>
      </c>
      <c r="Q44" s="54">
        <f t="shared" si="5"/>
        <v>1.5928533689669164</v>
      </c>
      <c r="R44" s="54">
        <f t="shared" si="5"/>
        <v>1.3617244903137944</v>
      </c>
      <c r="S44" s="54">
        <f t="shared" si="5"/>
        <v>1.0421523342957504</v>
      </c>
      <c r="T44" s="98"/>
    </row>
    <row r="45" spans="1:20" ht="12.75" customHeight="1">
      <c r="A45" s="96">
        <v>1967</v>
      </c>
      <c r="B45" s="61">
        <v>19.805</v>
      </c>
      <c r="C45" s="61">
        <v>19.625</v>
      </c>
      <c r="D45" s="61">
        <v>14.667</v>
      </c>
      <c r="E45" s="61">
        <v>9.3889999999999993</v>
      </c>
      <c r="F45" s="22">
        <v>33.4</v>
      </c>
      <c r="G45" s="22">
        <v>28.8</v>
      </c>
      <c r="H45" s="22">
        <v>28.2</v>
      </c>
      <c r="I45" s="100">
        <f>I44*(I$48/I$43)^0.2</f>
        <v>11.291930353901153</v>
      </c>
      <c r="J45" s="101">
        <f>J46*I45/I46</f>
        <v>12.695322945675072</v>
      </c>
      <c r="K45" s="99">
        <f t="shared" si="4"/>
        <v>2.9044996362880715E-2</v>
      </c>
      <c r="L45" s="99">
        <f t="shared" si="1"/>
        <v>3.0864197530864113E-2</v>
      </c>
      <c r="M45" s="85">
        <f t="shared" si="2"/>
        <v>5.2224588143001238E-2</v>
      </c>
      <c r="N45" s="85">
        <f t="shared" si="6"/>
        <v>7.2243346007604403E-2</v>
      </c>
      <c r="O45" s="102">
        <f t="shared" si="6"/>
        <v>5.7036147960161099E-2</v>
      </c>
      <c r="P45" s="103">
        <f t="shared" si="7"/>
        <v>5.7036147960161099E-2</v>
      </c>
      <c r="Q45" s="54">
        <f t="shared" si="5"/>
        <v>1.092132077786518</v>
      </c>
      <c r="R45" s="54">
        <f t="shared" si="5"/>
        <v>0.7895003638696001</v>
      </c>
      <c r="S45" s="54">
        <f t="shared" si="5"/>
        <v>1</v>
      </c>
      <c r="T45" s="98"/>
    </row>
    <row r="46" spans="1:20" ht="12.75" customHeight="1">
      <c r="A46" s="96">
        <v>1968</v>
      </c>
      <c r="B46" s="61">
        <v>20.646999999999998</v>
      </c>
      <c r="C46" s="61">
        <v>20.388999999999999</v>
      </c>
      <c r="D46" s="61">
        <v>15.302</v>
      </c>
      <c r="E46" s="61">
        <v>9.8849999999999998</v>
      </c>
      <c r="F46" s="22">
        <v>34.799999999999997</v>
      </c>
      <c r="G46" s="22">
        <v>30.3</v>
      </c>
      <c r="H46" s="22">
        <v>29.9</v>
      </c>
      <c r="I46" s="100">
        <f>I45*(I$48/I$43)^0.2</f>
        <v>11.935978564322093</v>
      </c>
      <c r="J46" s="101">
        <f>J47*I46/I47</f>
        <v>13.419415263606624</v>
      </c>
      <c r="K46" s="99">
        <f t="shared" si="4"/>
        <v>4.2514516536228175E-2</v>
      </c>
      <c r="L46" s="99">
        <f t="shared" si="1"/>
        <v>4.1916167664670656E-2</v>
      </c>
      <c r="M46" s="85">
        <f t="shared" si="2"/>
        <v>5.2827777186068792E-2</v>
      </c>
      <c r="N46" s="85">
        <f t="shared" si="6"/>
        <v>6.0283687943262443E-2</v>
      </c>
      <c r="O46" s="102">
        <f t="shared" si="6"/>
        <v>5.7036147960161099E-2</v>
      </c>
      <c r="P46" s="103">
        <f t="shared" si="7"/>
        <v>5.7036147960161099E-2</v>
      </c>
      <c r="Q46" s="54">
        <f t="shared" si="5"/>
        <v>1.0796620830603885</v>
      </c>
      <c r="R46" s="54">
        <f t="shared" si="5"/>
        <v>0.94612904263326003</v>
      </c>
      <c r="S46" s="54">
        <f t="shared" si="5"/>
        <v>1</v>
      </c>
      <c r="T46" s="98"/>
    </row>
    <row r="47" spans="1:20" ht="12.75" customHeight="1">
      <c r="A47" s="96">
        <v>1969</v>
      </c>
      <c r="B47" s="61">
        <v>21.663</v>
      </c>
      <c r="C47" s="61">
        <v>21.312999999999999</v>
      </c>
      <c r="D47" s="61">
        <v>16.099</v>
      </c>
      <c r="E47" s="61">
        <v>10.492000000000001</v>
      </c>
      <c r="F47" s="22">
        <v>36.700000000000003</v>
      </c>
      <c r="G47" s="22">
        <v>32.4</v>
      </c>
      <c r="H47" s="22">
        <v>31.9</v>
      </c>
      <c r="I47" s="100">
        <f>I46*(I$48/I$43)^0.2</f>
        <v>12.616760803766079</v>
      </c>
      <c r="J47" s="101">
        <f>J48*I47/I48</f>
        <v>14.184807018120534</v>
      </c>
      <c r="K47" s="99">
        <f t="shared" si="4"/>
        <v>4.9208117402044005E-2</v>
      </c>
      <c r="L47" s="99">
        <f t="shared" si="1"/>
        <v>5.4597701149425415E-2</v>
      </c>
      <c r="M47" s="85">
        <f t="shared" si="2"/>
        <v>6.1406170966110452E-2</v>
      </c>
      <c r="N47" s="85">
        <f t="shared" si="6"/>
        <v>6.6889632107023367E-2</v>
      </c>
      <c r="O47" s="102">
        <f t="shared" si="6"/>
        <v>5.7036147960161099E-2</v>
      </c>
      <c r="P47" s="103">
        <f t="shared" si="7"/>
        <v>5.7036147960161099E-2</v>
      </c>
      <c r="Q47" s="54">
        <f t="shared" si="5"/>
        <v>0.92883413935122039</v>
      </c>
      <c r="R47" s="54">
        <f t="shared" si="5"/>
        <v>0.85269041200440898</v>
      </c>
      <c r="S47" s="54">
        <f t="shared" si="5"/>
        <v>1</v>
      </c>
      <c r="T47" s="98"/>
    </row>
    <row r="48" spans="1:20" ht="18" customHeight="1">
      <c r="A48" s="96">
        <v>1970</v>
      </c>
      <c r="B48" s="61">
        <v>22.805</v>
      </c>
      <c r="C48" s="61">
        <v>22.31</v>
      </c>
      <c r="D48" s="61">
        <v>16.992000000000001</v>
      </c>
      <c r="E48" s="61">
        <v>11.196999999999999</v>
      </c>
      <c r="F48" s="22">
        <v>38.799999999999997</v>
      </c>
      <c r="G48" s="22">
        <v>35</v>
      </c>
      <c r="H48" s="22">
        <v>34</v>
      </c>
      <c r="I48" s="100">
        <f>D215</f>
        <v>13.336372239747636</v>
      </c>
      <c r="J48" s="100">
        <f>E215</f>
        <v>14.993853769992381</v>
      </c>
      <c r="K48" s="99">
        <f t="shared" si="4"/>
        <v>5.2716613580759741E-2</v>
      </c>
      <c r="L48" s="99">
        <f t="shared" si="1"/>
        <v>5.7220708446866331E-2</v>
      </c>
      <c r="M48" s="85">
        <f t="shared" si="2"/>
        <v>6.7194052611513344E-2</v>
      </c>
      <c r="N48" s="85">
        <f t="shared" si="6"/>
        <v>6.5830721003134807E-2</v>
      </c>
      <c r="O48" s="102">
        <f t="shared" si="6"/>
        <v>5.7036147960160655E-2</v>
      </c>
      <c r="P48" s="103">
        <f t="shared" si="7"/>
        <v>5.7036147960160655E-2</v>
      </c>
      <c r="Q48" s="54">
        <f t="shared" si="5"/>
        <v>0.84882732538724437</v>
      </c>
      <c r="R48" s="54">
        <f t="shared" si="5"/>
        <v>0.86640624758529738</v>
      </c>
      <c r="S48" s="54">
        <f t="shared" si="5"/>
        <v>1</v>
      </c>
      <c r="T48" s="98"/>
    </row>
    <row r="49" spans="1:20" ht="12.75" customHeight="1">
      <c r="A49" s="96">
        <v>1971</v>
      </c>
      <c r="B49" s="61">
        <v>23.963999999999999</v>
      </c>
      <c r="C49" s="61">
        <v>23.259</v>
      </c>
      <c r="D49" s="61">
        <v>17.920000000000002</v>
      </c>
      <c r="E49" s="61">
        <v>11.715999999999999</v>
      </c>
      <c r="F49" s="22">
        <v>40.5</v>
      </c>
      <c r="G49" s="22">
        <v>37</v>
      </c>
      <c r="H49" s="22">
        <v>36.1</v>
      </c>
      <c r="I49" s="100">
        <f>I48*(I$53/I$48)^0.2</f>
        <v>14.2434390648692</v>
      </c>
      <c r="J49" s="101">
        <f>J50*I49/I50</f>
        <v>15.994228965039815</v>
      </c>
      <c r="K49" s="99">
        <f t="shared" si="4"/>
        <v>5.0822188116641076E-2</v>
      </c>
      <c r="L49" s="99">
        <f t="shared" si="1"/>
        <v>4.3814432989690788E-2</v>
      </c>
      <c r="M49" s="85">
        <f t="shared" si="2"/>
        <v>4.6351701348575469E-2</v>
      </c>
      <c r="N49" s="85">
        <f t="shared" si="6"/>
        <v>6.1764705882352944E-2</v>
      </c>
      <c r="O49" s="102">
        <f t="shared" si="6"/>
        <v>6.8014510154279284E-2</v>
      </c>
      <c r="P49" s="103">
        <f t="shared" si="7"/>
        <v>6.6719017698406047E-2</v>
      </c>
      <c r="Q49" s="54">
        <f t="shared" si="5"/>
        <v>1.439408171809351</v>
      </c>
      <c r="R49" s="54">
        <f t="shared" si="5"/>
        <v>1.0802126674980026</v>
      </c>
      <c r="S49" s="54">
        <f t="shared" si="5"/>
        <v>0.98095270475469665</v>
      </c>
      <c r="T49" s="98"/>
    </row>
    <row r="50" spans="1:20" ht="12.75" customHeight="1">
      <c r="A50" s="96">
        <v>1972</v>
      </c>
      <c r="B50" s="61">
        <v>25.004999999999999</v>
      </c>
      <c r="C50" s="61">
        <v>24.053999999999998</v>
      </c>
      <c r="D50" s="61">
        <v>18.681000000000001</v>
      </c>
      <c r="E50" s="61">
        <v>12.147</v>
      </c>
      <c r="F50" s="22">
        <v>41.8</v>
      </c>
      <c r="G50" s="22">
        <v>38.4</v>
      </c>
      <c r="H50" s="22">
        <v>37.299999999999997</v>
      </c>
      <c r="I50" s="100">
        <f>I49*(I$53/I$48)^0.2</f>
        <v>15.212199595778605</v>
      </c>
      <c r="J50" s="101">
        <f>J51*I50/I51</f>
        <v>17.082068613392384</v>
      </c>
      <c r="K50" s="99">
        <f t="shared" si="4"/>
        <v>4.3440160240360459E-2</v>
      </c>
      <c r="L50" s="99">
        <f t="shared" si="1"/>
        <v>3.2098765432098775E-2</v>
      </c>
      <c r="M50" s="85">
        <f t="shared" si="2"/>
        <v>3.6787299419597241E-2</v>
      </c>
      <c r="N50" s="85">
        <f t="shared" si="6"/>
        <v>3.3240997229916802E-2</v>
      </c>
      <c r="O50" s="102">
        <f t="shared" si="6"/>
        <v>6.8014510154279284E-2</v>
      </c>
      <c r="P50" s="103">
        <f t="shared" si="7"/>
        <v>6.8014510154279284E-2</v>
      </c>
      <c r="Q50" s="54">
        <f t="shared" si="5"/>
        <v>1.8488584709223521</v>
      </c>
      <c r="R50" s="54">
        <f t="shared" si="5"/>
        <v>2.0461031804745744</v>
      </c>
      <c r="S50" s="54">
        <f t="shared" si="5"/>
        <v>1</v>
      </c>
      <c r="T50" s="98"/>
    </row>
    <row r="51" spans="1:20" ht="12.75" customHeight="1">
      <c r="A51" s="96">
        <v>1973</v>
      </c>
      <c r="B51" s="61">
        <v>26.366</v>
      </c>
      <c r="C51" s="61">
        <v>25.352</v>
      </c>
      <c r="D51" s="61">
        <v>19.588000000000001</v>
      </c>
      <c r="E51" s="61">
        <v>12.645</v>
      </c>
      <c r="F51" s="22">
        <v>44.4</v>
      </c>
      <c r="G51" s="22">
        <v>40.1</v>
      </c>
      <c r="H51" s="22">
        <v>38.799999999999997</v>
      </c>
      <c r="I51" s="100">
        <f>I50*(I$53/I$48)^0.2</f>
        <v>16.246849899654613</v>
      </c>
      <c r="J51" s="101">
        <f>J52*I51/I52</f>
        <v>18.243897142554058</v>
      </c>
      <c r="K51" s="99">
        <f t="shared" si="4"/>
        <v>5.4429114177164672E-2</v>
      </c>
      <c r="L51" s="99">
        <f t="shared" si="1"/>
        <v>6.2200956937799035E-2</v>
      </c>
      <c r="M51" s="85">
        <f t="shared" si="2"/>
        <v>4.0997777228945376E-2</v>
      </c>
      <c r="N51" s="85">
        <f t="shared" si="6"/>
        <v>4.0214477211796273E-2</v>
      </c>
      <c r="O51" s="102">
        <f t="shared" si="6"/>
        <v>6.8014510154279284E-2</v>
      </c>
      <c r="P51" s="103">
        <f t="shared" si="7"/>
        <v>6.8014510154279506E-2</v>
      </c>
      <c r="Q51" s="54">
        <f t="shared" si="5"/>
        <v>1.6589804314137229</v>
      </c>
      <c r="R51" s="54">
        <f t="shared" si="5"/>
        <v>1.6912941525030827</v>
      </c>
      <c r="S51" s="54">
        <f t="shared" si="5"/>
        <v>1.0000000000000033</v>
      </c>
      <c r="T51" s="98"/>
    </row>
    <row r="52" spans="1:20" ht="12.75" customHeight="1">
      <c r="A52" s="96">
        <v>1974</v>
      </c>
      <c r="B52" s="61">
        <v>28.734000000000002</v>
      </c>
      <c r="C52" s="61">
        <v>27.991</v>
      </c>
      <c r="D52" s="61">
        <v>21.248000000000001</v>
      </c>
      <c r="E52" s="61">
        <v>13.736000000000001</v>
      </c>
      <c r="F52" s="22">
        <v>49.3</v>
      </c>
      <c r="G52" s="22">
        <v>43.8</v>
      </c>
      <c r="H52" s="22">
        <v>42.4</v>
      </c>
      <c r="I52" s="100">
        <f>I51*(I$53/I$48)^0.2</f>
        <v>17.351871437129724</v>
      </c>
      <c r="J52" s="101">
        <f>J53*I52/I53</f>
        <v>19.484746870009928</v>
      </c>
      <c r="K52" s="99">
        <f t="shared" si="4"/>
        <v>8.9812637487673541E-2</v>
      </c>
      <c r="L52" s="99">
        <f t="shared" si="1"/>
        <v>0.11036036036036023</v>
      </c>
      <c r="M52" s="85">
        <f t="shared" si="2"/>
        <v>8.6279161724001741E-2</v>
      </c>
      <c r="N52" s="85">
        <f t="shared" si="6"/>
        <v>9.278350515463929E-2</v>
      </c>
      <c r="O52" s="102">
        <f t="shared" si="6"/>
        <v>6.8014510154279284E-2</v>
      </c>
      <c r="P52" s="103">
        <f t="shared" si="7"/>
        <v>6.8014510154279284E-2</v>
      </c>
      <c r="Q52" s="54">
        <f t="shared" si="5"/>
        <v>0.78830749853424376</v>
      </c>
      <c r="R52" s="54">
        <f t="shared" si="5"/>
        <v>0.73304527610723136</v>
      </c>
      <c r="S52" s="54">
        <f t="shared" si="5"/>
        <v>1</v>
      </c>
      <c r="T52" s="98"/>
    </row>
    <row r="53" spans="1:20" ht="12.75" customHeight="1">
      <c r="A53" s="96">
        <v>1975</v>
      </c>
      <c r="B53" s="61">
        <v>31.395</v>
      </c>
      <c r="C53" s="61">
        <v>30.329000000000001</v>
      </c>
      <c r="D53" s="61">
        <v>23.077000000000002</v>
      </c>
      <c r="E53" s="61">
        <v>15.215999999999999</v>
      </c>
      <c r="F53" s="22">
        <v>53.8</v>
      </c>
      <c r="G53" s="22">
        <v>48</v>
      </c>
      <c r="H53" s="22">
        <v>47.5</v>
      </c>
      <c r="I53" s="100">
        <f>D216</f>
        <v>18.532050473186121</v>
      </c>
      <c r="J53" s="100">
        <f>E216</f>
        <v>20.809992383853768</v>
      </c>
      <c r="K53" s="99">
        <f t="shared" si="4"/>
        <v>9.260806013781564E-2</v>
      </c>
      <c r="L53" s="99">
        <f t="shared" si="1"/>
        <v>9.1277890466531453E-2</v>
      </c>
      <c r="M53" s="85">
        <f t="shared" si="2"/>
        <v>0.10774606872451931</v>
      </c>
      <c r="N53" s="85">
        <f t="shared" si="6"/>
        <v>0.12028301886792447</v>
      </c>
      <c r="O53" s="102">
        <f t="shared" si="6"/>
        <v>6.8014510154278618E-2</v>
      </c>
      <c r="P53" s="103">
        <f t="shared" si="7"/>
        <v>6.8014510154278618E-2</v>
      </c>
      <c r="Q53" s="54">
        <f t="shared" si="5"/>
        <v>0.63124818343187361</v>
      </c>
      <c r="R53" s="54">
        <f t="shared" si="5"/>
        <v>0.56545396677282644</v>
      </c>
      <c r="S53" s="54">
        <f t="shared" si="5"/>
        <v>1</v>
      </c>
      <c r="T53" s="98"/>
    </row>
    <row r="54" spans="1:20" ht="12.75" customHeight="1">
      <c r="A54" s="96">
        <v>1976</v>
      </c>
      <c r="B54" s="61">
        <v>33.119</v>
      </c>
      <c r="C54" s="61">
        <v>31.992999999999999</v>
      </c>
      <c r="D54" s="61">
        <v>24.675999999999998</v>
      </c>
      <c r="E54" s="61">
        <v>16.608000000000001</v>
      </c>
      <c r="F54" s="22">
        <v>56.9</v>
      </c>
      <c r="G54" s="22">
        <v>52</v>
      </c>
      <c r="H54" s="22">
        <v>52</v>
      </c>
      <c r="I54" s="100">
        <f>I53*(I55/I53)^0.5</f>
        <v>20.084297762400933</v>
      </c>
      <c r="J54" s="101">
        <f>J55*I54/I55</f>
        <v>22.558339541139677</v>
      </c>
      <c r="K54" s="99">
        <f t="shared" si="4"/>
        <v>5.491320273928979E-2</v>
      </c>
      <c r="L54" s="99">
        <f t="shared" si="1"/>
        <v>5.762081784386619E-2</v>
      </c>
      <c r="M54" s="85">
        <f t="shared" si="2"/>
        <v>9.1482649842271391E-2</v>
      </c>
      <c r="N54" s="85">
        <f t="shared" si="6"/>
        <v>9.473684210526323E-2</v>
      </c>
      <c r="O54" s="102">
        <f t="shared" si="6"/>
        <v>8.37601479372585E-2</v>
      </c>
      <c r="P54" s="103">
        <f t="shared" si="7"/>
        <v>8.4014790829161079E-2</v>
      </c>
      <c r="Q54" s="54">
        <f t="shared" si="5"/>
        <v>0.91836857561531149</v>
      </c>
      <c r="R54" s="54">
        <f t="shared" si="5"/>
        <v>0.88682279208558845</v>
      </c>
      <c r="S54" s="54">
        <f t="shared" si="5"/>
        <v>1.0030401437697236</v>
      </c>
      <c r="T54" s="98"/>
    </row>
    <row r="55" spans="1:20" ht="12.75" customHeight="1">
      <c r="A55" s="96">
        <v>1977</v>
      </c>
      <c r="B55" s="61">
        <v>35.173000000000002</v>
      </c>
      <c r="C55" s="61">
        <v>34.076000000000001</v>
      </c>
      <c r="D55" s="61">
        <v>26.536000000000001</v>
      </c>
      <c r="E55" s="61">
        <v>17.949000000000002</v>
      </c>
      <c r="F55" s="22">
        <v>60.6</v>
      </c>
      <c r="G55" s="22">
        <v>56</v>
      </c>
      <c r="H55" s="22">
        <v>57</v>
      </c>
      <c r="I55" s="100">
        <f t="shared" ref="I55:J85" si="8">D217</f>
        <v>21.766561514195583</v>
      </c>
      <c r="J55" s="100">
        <f t="shared" si="8"/>
        <v>24.447829398324444</v>
      </c>
      <c r="K55" s="99">
        <f t="shared" si="4"/>
        <v>6.2018780760288772E-2</v>
      </c>
      <c r="L55" s="99">
        <f t="shared" si="1"/>
        <v>6.5026362038664409E-2</v>
      </c>
      <c r="M55" s="85">
        <f t="shared" si="2"/>
        <v>8.074421965317935E-2</v>
      </c>
      <c r="N55" s="85">
        <f t="shared" si="6"/>
        <v>9.6153846153846256E-2</v>
      </c>
      <c r="O55" s="102">
        <f t="shared" si="6"/>
        <v>8.37601479372585E-2</v>
      </c>
      <c r="P55" s="103">
        <f t="shared" si="7"/>
        <v>8.37601479372585E-2</v>
      </c>
      <c r="Q55" s="54">
        <f t="shared" ref="Q55:S70" si="9">($J55/$J54-1)/M55</f>
        <v>1.0373516308292219</v>
      </c>
      <c r="R55" s="54">
        <f t="shared" si="9"/>
        <v>0.87110553854748751</v>
      </c>
      <c r="S55" s="54">
        <f t="shared" si="9"/>
        <v>1</v>
      </c>
      <c r="T55" s="98"/>
    </row>
    <row r="56" spans="1:20" ht="12.75" customHeight="1">
      <c r="A56" s="96">
        <v>1978</v>
      </c>
      <c r="B56" s="61">
        <v>37.643000000000001</v>
      </c>
      <c r="C56" s="61">
        <v>36.463000000000001</v>
      </c>
      <c r="D56" s="61">
        <v>28.599</v>
      </c>
      <c r="E56" s="61">
        <v>19.428999999999998</v>
      </c>
      <c r="F56" s="22">
        <v>65.2</v>
      </c>
      <c r="G56" s="22">
        <v>60.8</v>
      </c>
      <c r="H56" s="22">
        <v>61.8</v>
      </c>
      <c r="I56" s="100">
        <f t="shared" si="8"/>
        <v>23.559687863191101</v>
      </c>
      <c r="J56" s="100">
        <f t="shared" si="8"/>
        <v>26.629083817198396</v>
      </c>
      <c r="K56" s="99">
        <f t="shared" si="4"/>
        <v>7.0224319790748613E-2</v>
      </c>
      <c r="L56" s="99">
        <f t="shared" si="1"/>
        <v>7.5907590759075827E-2</v>
      </c>
      <c r="M56" s="85">
        <f t="shared" si="2"/>
        <v>8.2455847122402171E-2</v>
      </c>
      <c r="N56" s="85">
        <f t="shared" si="6"/>
        <v>8.4210526315789513E-2</v>
      </c>
      <c r="O56" s="102">
        <f t="shared" si="6"/>
        <v>8.237986270022879E-2</v>
      </c>
      <c r="P56" s="103">
        <f t="shared" si="7"/>
        <v>8.9220780435560698E-2</v>
      </c>
      <c r="Q56" s="54">
        <f t="shared" si="9"/>
        <v>1.0820431000255963</v>
      </c>
      <c r="R56" s="54">
        <f t="shared" si="9"/>
        <v>1.0594967676722828</v>
      </c>
      <c r="S56" s="54">
        <f t="shared" si="9"/>
        <v>1.0830411402872235</v>
      </c>
      <c r="T56" s="98"/>
    </row>
    <row r="57" spans="1:20" ht="12.75" customHeight="1">
      <c r="A57" s="96">
        <v>1979</v>
      </c>
      <c r="B57" s="61">
        <v>40.75</v>
      </c>
      <c r="C57" s="61">
        <v>39.695999999999998</v>
      </c>
      <c r="D57" s="61">
        <v>30.989000000000001</v>
      </c>
      <c r="E57" s="61">
        <v>21.245999999999999</v>
      </c>
      <c r="F57" s="22">
        <v>72.599999999999994</v>
      </c>
      <c r="G57" s="22">
        <v>67.5</v>
      </c>
      <c r="H57" s="22">
        <v>67.5</v>
      </c>
      <c r="I57" s="100">
        <f t="shared" si="8"/>
        <v>25.726382201560686</v>
      </c>
      <c r="J57" s="100">
        <f t="shared" si="8"/>
        <v>29.078058755989371</v>
      </c>
      <c r="K57" s="99">
        <f t="shared" si="4"/>
        <v>8.2538586191323704E-2</v>
      </c>
      <c r="L57" s="99">
        <f t="shared" si="1"/>
        <v>0.11349693251533721</v>
      </c>
      <c r="M57" s="85">
        <f t="shared" si="2"/>
        <v>9.3519995882443752E-2</v>
      </c>
      <c r="N57" s="85">
        <f t="shared" si="6"/>
        <v>9.2233009708737823E-2</v>
      </c>
      <c r="O57" s="102">
        <f t="shared" si="6"/>
        <v>9.1966173361522241E-2</v>
      </c>
      <c r="P57" s="103">
        <f t="shared" si="7"/>
        <v>9.1966173361522241E-2</v>
      </c>
      <c r="Q57" s="54">
        <f t="shared" si="9"/>
        <v>0.9833851305674276</v>
      </c>
      <c r="R57" s="54">
        <f t="shared" si="9"/>
        <v>0.9971069322354521</v>
      </c>
      <c r="S57" s="54">
        <f t="shared" si="9"/>
        <v>1</v>
      </c>
      <c r="T57" s="98"/>
    </row>
    <row r="58" spans="1:20" ht="18" customHeight="1">
      <c r="A58" s="96">
        <v>1980</v>
      </c>
      <c r="B58" s="61">
        <v>44.424999999999997</v>
      </c>
      <c r="C58" s="61">
        <v>43.957999999999998</v>
      </c>
      <c r="D58" s="61">
        <v>34.195</v>
      </c>
      <c r="E58" s="61">
        <v>23.73</v>
      </c>
      <c r="F58" s="22">
        <v>82.4</v>
      </c>
      <c r="G58" s="22">
        <v>77.900000000000006</v>
      </c>
      <c r="H58" s="22">
        <v>74.900000000000006</v>
      </c>
      <c r="I58" s="100">
        <f t="shared" si="8"/>
        <v>28.4</v>
      </c>
      <c r="J58" s="100">
        <f t="shared" si="8"/>
        <v>32.1</v>
      </c>
      <c r="K58" s="99">
        <f t="shared" si="4"/>
        <v>9.0184049079754525E-2</v>
      </c>
      <c r="L58" s="99">
        <f t="shared" si="1"/>
        <v>0.13498622589531695</v>
      </c>
      <c r="M58" s="85">
        <f t="shared" si="2"/>
        <v>0.11691612538830842</v>
      </c>
      <c r="N58" s="85">
        <f t="shared" si="6"/>
        <v>0.10962962962962974</v>
      </c>
      <c r="O58" s="102">
        <f t="shared" si="6"/>
        <v>0.10392513714101304</v>
      </c>
      <c r="P58" s="103">
        <f t="shared" si="7"/>
        <v>0.10392513714101304</v>
      </c>
      <c r="Q58" s="54">
        <f t="shared" si="9"/>
        <v>0.88888625752736006</v>
      </c>
      <c r="R58" s="54">
        <f t="shared" si="9"/>
        <v>0.94796577797545578</v>
      </c>
      <c r="S58" s="54">
        <f t="shared" si="9"/>
        <v>1</v>
      </c>
      <c r="T58" s="98"/>
    </row>
    <row r="59" spans="1:20" ht="12.75" customHeight="1">
      <c r="A59" s="96">
        <v>1981</v>
      </c>
      <c r="B59" s="61">
        <v>48.572000000000003</v>
      </c>
      <c r="C59" s="61">
        <v>47.83</v>
      </c>
      <c r="D59" s="61">
        <v>37.6</v>
      </c>
      <c r="E59" s="61">
        <v>26.574000000000002</v>
      </c>
      <c r="F59" s="22">
        <v>90.9</v>
      </c>
      <c r="G59" s="22">
        <v>88.1</v>
      </c>
      <c r="H59" s="22">
        <v>82.9</v>
      </c>
      <c r="I59" s="100">
        <f t="shared" si="8"/>
        <v>32.160053129669599</v>
      </c>
      <c r="J59" s="100">
        <f t="shared" si="8"/>
        <v>36.642674468884067</v>
      </c>
      <c r="K59" s="99">
        <f t="shared" si="4"/>
        <v>9.3348339898705834E-2</v>
      </c>
      <c r="L59" s="99">
        <f t="shared" si="1"/>
        <v>0.10315533980582514</v>
      </c>
      <c r="M59" s="85">
        <f t="shared" si="2"/>
        <v>0.11984829329962077</v>
      </c>
      <c r="N59" s="85">
        <f t="shared" si="6"/>
        <v>0.10680907877169554</v>
      </c>
      <c r="O59" s="102">
        <f t="shared" si="6"/>
        <v>0.1323962369601972</v>
      </c>
      <c r="P59" s="103">
        <f t="shared" si="7"/>
        <v>0.14151633859451906</v>
      </c>
      <c r="Q59" s="54">
        <f t="shared" si="9"/>
        <v>1.1807956100027905</v>
      </c>
      <c r="R59" s="54">
        <f t="shared" si="9"/>
        <v>1.3249467200911853</v>
      </c>
      <c r="S59" s="54">
        <f t="shared" si="9"/>
        <v>1.0688849006868955</v>
      </c>
      <c r="T59" s="98"/>
    </row>
    <row r="60" spans="1:20" ht="12.75" customHeight="1">
      <c r="A60" s="96">
        <v>1982</v>
      </c>
      <c r="B60" s="61">
        <v>51.585999999999999</v>
      </c>
      <c r="C60" s="61">
        <v>50.478999999999999</v>
      </c>
      <c r="D60" s="61">
        <v>40.539000000000001</v>
      </c>
      <c r="E60" s="61">
        <v>29.516999999999999</v>
      </c>
      <c r="F60" s="22">
        <v>96.5</v>
      </c>
      <c r="G60" s="22">
        <v>96</v>
      </c>
      <c r="H60" s="22">
        <v>92.5</v>
      </c>
      <c r="I60" s="100">
        <f t="shared" si="8"/>
        <v>35.621783164535948</v>
      </c>
      <c r="J60" s="100">
        <f t="shared" si="8"/>
        <v>39.164547268328874</v>
      </c>
      <c r="K60" s="99">
        <f t="shared" si="4"/>
        <v>6.2052211150456893E-2</v>
      </c>
      <c r="L60" s="99">
        <f t="shared" si="1"/>
        <v>6.1606160616061612E-2</v>
      </c>
      <c r="M60" s="85">
        <f t="shared" si="2"/>
        <v>0.11074734703093236</v>
      </c>
      <c r="N60" s="85">
        <f t="shared" si="6"/>
        <v>0.11580217129071158</v>
      </c>
      <c r="O60" s="102">
        <f t="shared" si="6"/>
        <v>0.107640681466185</v>
      </c>
      <c r="P60" s="103">
        <f t="shared" si="7"/>
        <v>6.882338246315256E-2</v>
      </c>
      <c r="Q60" s="54">
        <f t="shared" si="9"/>
        <v>0.62144497641040375</v>
      </c>
      <c r="R60" s="54">
        <f t="shared" si="9"/>
        <v>0.59431858397868265</v>
      </c>
      <c r="S60" s="54">
        <f t="shared" si="9"/>
        <v>0.63938077616847144</v>
      </c>
      <c r="T60" s="98"/>
    </row>
    <row r="61" spans="1:20" ht="12.75" customHeight="1">
      <c r="A61" s="96">
        <v>1983</v>
      </c>
      <c r="B61" s="61">
        <v>53.622999999999998</v>
      </c>
      <c r="C61" s="61">
        <v>52.652999999999999</v>
      </c>
      <c r="D61" s="61">
        <v>43.064</v>
      </c>
      <c r="E61" s="61">
        <v>32.176000000000002</v>
      </c>
      <c r="F61" s="22">
        <v>99.6</v>
      </c>
      <c r="G61" s="22">
        <v>99.4</v>
      </c>
      <c r="H61" s="22">
        <v>100.6</v>
      </c>
      <c r="I61" s="100">
        <f t="shared" si="8"/>
        <v>38.269965133654324</v>
      </c>
      <c r="J61" s="100">
        <f t="shared" si="8"/>
        <v>41.617766543287892</v>
      </c>
      <c r="K61" s="99">
        <f t="shared" si="4"/>
        <v>3.9487457837397821E-2</v>
      </c>
      <c r="L61" s="99">
        <f t="shared" si="1"/>
        <v>3.2124352331606154E-2</v>
      </c>
      <c r="M61" s="85">
        <f t="shared" si="2"/>
        <v>9.0083680590846038E-2</v>
      </c>
      <c r="N61" s="85">
        <f t="shared" si="6"/>
        <v>8.7567567567567561E-2</v>
      </c>
      <c r="O61" s="102">
        <f t="shared" si="6"/>
        <v>7.4341645304124793E-2</v>
      </c>
      <c r="P61" s="103">
        <f t="shared" si="7"/>
        <v>6.263877527170747E-2</v>
      </c>
      <c r="Q61" s="54">
        <f t="shared" si="9"/>
        <v>0.69533987577848355</v>
      </c>
      <c r="R61" s="54">
        <f t="shared" si="9"/>
        <v>0.71531934723863477</v>
      </c>
      <c r="S61" s="54">
        <f t="shared" si="9"/>
        <v>0.8425798893131573</v>
      </c>
      <c r="T61" s="98"/>
    </row>
    <row r="62" spans="1:20" ht="12.75" customHeight="1">
      <c r="A62" s="96">
        <v>1984</v>
      </c>
      <c r="B62" s="61">
        <v>55.524999999999999</v>
      </c>
      <c r="C62" s="61">
        <v>54.645000000000003</v>
      </c>
      <c r="D62" s="61">
        <v>45.307000000000002</v>
      </c>
      <c r="E62" s="61">
        <v>34.552999999999997</v>
      </c>
      <c r="F62" s="22">
        <v>103.9</v>
      </c>
      <c r="G62" s="22">
        <v>104.6</v>
      </c>
      <c r="H62" s="22">
        <v>106.8</v>
      </c>
      <c r="I62" s="100">
        <f t="shared" si="8"/>
        <v>41.084177320272289</v>
      </c>
      <c r="J62" s="100">
        <f t="shared" si="8"/>
        <v>44.67816195720863</v>
      </c>
      <c r="K62" s="99">
        <f t="shared" si="4"/>
        <v>3.5469854353542329E-2</v>
      </c>
      <c r="L62" s="99">
        <f t="shared" si="1"/>
        <v>4.3172690763052302E-2</v>
      </c>
      <c r="M62" s="85">
        <f t="shared" si="2"/>
        <v>7.3874937841869492E-2</v>
      </c>
      <c r="N62" s="85">
        <f t="shared" si="6"/>
        <v>6.1630218687872773E-2</v>
      </c>
      <c r="O62" s="102">
        <f t="shared" si="6"/>
        <v>7.3535791757049829E-2</v>
      </c>
      <c r="P62" s="103">
        <f t="shared" si="7"/>
        <v>7.3535791757049829E-2</v>
      </c>
      <c r="Q62" s="54">
        <f t="shared" si="9"/>
        <v>0.99540918619051011</v>
      </c>
      <c r="R62" s="54">
        <f t="shared" si="9"/>
        <v>1.1931775243160019</v>
      </c>
      <c r="S62" s="54">
        <f t="shared" si="9"/>
        <v>1</v>
      </c>
      <c r="T62" s="98"/>
    </row>
    <row r="63" spans="1:20" ht="12.75" customHeight="1">
      <c r="A63" s="96">
        <v>1985</v>
      </c>
      <c r="B63" s="61">
        <v>57.302</v>
      </c>
      <c r="C63" s="61">
        <v>56.581000000000003</v>
      </c>
      <c r="D63" s="61">
        <v>47.564</v>
      </c>
      <c r="E63" s="61">
        <v>36.662999999999997</v>
      </c>
      <c r="F63" s="22">
        <v>107.6</v>
      </c>
      <c r="G63" s="22">
        <v>109.9</v>
      </c>
      <c r="H63" s="22">
        <v>113.5</v>
      </c>
      <c r="I63" s="100">
        <f t="shared" si="8"/>
        <v>43.881786485140296</v>
      </c>
      <c r="J63" s="100">
        <f t="shared" si="8"/>
        <v>47.720501940958748</v>
      </c>
      <c r="K63" s="99">
        <f t="shared" si="4"/>
        <v>3.2003601981089647E-2</v>
      </c>
      <c r="L63" s="99">
        <f t="shared" si="1"/>
        <v>3.5611164581328181E-2</v>
      </c>
      <c r="M63" s="85">
        <f t="shared" si="2"/>
        <v>6.1065609353746497E-2</v>
      </c>
      <c r="N63" s="85">
        <f t="shared" si="6"/>
        <v>6.2734082397003732E-2</v>
      </c>
      <c r="O63" s="102">
        <f t="shared" si="6"/>
        <v>6.8094564558496717E-2</v>
      </c>
      <c r="P63" s="103">
        <f t="shared" si="7"/>
        <v>6.8094564558496717E-2</v>
      </c>
      <c r="Q63" s="54">
        <f t="shared" si="9"/>
        <v>1.1151049711799688</v>
      </c>
      <c r="R63" s="54">
        <f t="shared" si="9"/>
        <v>1.085447685798127</v>
      </c>
      <c r="S63" s="54">
        <f t="shared" si="9"/>
        <v>1</v>
      </c>
      <c r="T63" s="98"/>
    </row>
    <row r="64" spans="1:20" ht="12.75" customHeight="1">
      <c r="A64" s="96">
        <v>1986</v>
      </c>
      <c r="B64" s="61">
        <v>58.457999999999998</v>
      </c>
      <c r="C64" s="61">
        <v>57.805</v>
      </c>
      <c r="D64" s="61">
        <v>49.502000000000002</v>
      </c>
      <c r="E64" s="61">
        <v>38.834000000000003</v>
      </c>
      <c r="F64" s="22">
        <v>109.6</v>
      </c>
      <c r="G64" s="22">
        <v>115.4</v>
      </c>
      <c r="H64" s="22">
        <v>122</v>
      </c>
      <c r="I64" s="100">
        <f t="shared" si="8"/>
        <v>46.065083845259842</v>
      </c>
      <c r="J64" s="100">
        <f t="shared" si="8"/>
        <v>50.094791008395781</v>
      </c>
      <c r="K64" s="99">
        <f t="shared" si="4"/>
        <v>2.0173815922655436E-2</v>
      </c>
      <c r="L64" s="99">
        <f t="shared" si="1"/>
        <v>1.8587360594795488E-2</v>
      </c>
      <c r="M64" s="85">
        <f t="shared" si="2"/>
        <v>5.9215012410332113E-2</v>
      </c>
      <c r="N64" s="85">
        <f t="shared" si="6"/>
        <v>7.4889867841409608E-2</v>
      </c>
      <c r="O64" s="102">
        <f t="shared" si="6"/>
        <v>4.975406734771104E-2</v>
      </c>
      <c r="P64" s="103">
        <f t="shared" si="7"/>
        <v>4.975406734771104E-2</v>
      </c>
      <c r="Q64" s="54">
        <f t="shared" si="9"/>
        <v>0.84022725525984554</v>
      </c>
      <c r="R64" s="54">
        <f t="shared" si="9"/>
        <v>0.66436313458414231</v>
      </c>
      <c r="S64" s="54">
        <f t="shared" si="9"/>
        <v>1</v>
      </c>
      <c r="T64" s="98"/>
    </row>
    <row r="65" spans="1:20" ht="12.75" customHeight="1">
      <c r="A65" s="96">
        <v>1987</v>
      </c>
      <c r="B65" s="61">
        <v>59.948999999999998</v>
      </c>
      <c r="C65" s="61">
        <v>59.649000000000001</v>
      </c>
      <c r="D65" s="61">
        <v>51.072000000000003</v>
      </c>
      <c r="E65" s="61">
        <v>41.292000000000002</v>
      </c>
      <c r="F65" s="22">
        <v>113.6</v>
      </c>
      <c r="G65" s="22">
        <v>120.2</v>
      </c>
      <c r="H65" s="22">
        <v>130.1</v>
      </c>
      <c r="I65" s="100">
        <f t="shared" si="8"/>
        <v>48.34799933587913</v>
      </c>
      <c r="J65" s="100">
        <f t="shared" si="8"/>
        <v>52.577412656856552</v>
      </c>
      <c r="K65" s="99">
        <f t="shared" si="4"/>
        <v>2.5505491121831092E-2</v>
      </c>
      <c r="L65" s="99">
        <f t="shared" si="1"/>
        <v>3.649635036496357E-2</v>
      </c>
      <c r="M65" s="85">
        <f t="shared" si="2"/>
        <v>6.3295050728742863E-2</v>
      </c>
      <c r="N65" s="85">
        <f t="shared" si="6"/>
        <v>6.6393442622950882E-2</v>
      </c>
      <c r="O65" s="102">
        <f t="shared" si="6"/>
        <v>4.9558479005226141E-2</v>
      </c>
      <c r="P65" s="103">
        <f t="shared" si="7"/>
        <v>4.9558479005226141E-2</v>
      </c>
      <c r="Q65" s="54">
        <f t="shared" si="9"/>
        <v>0.78297557920624561</v>
      </c>
      <c r="R65" s="54">
        <f t="shared" si="9"/>
        <v>0.74643635044908441</v>
      </c>
      <c r="S65" s="54">
        <f t="shared" si="9"/>
        <v>1</v>
      </c>
      <c r="T65" s="98"/>
    </row>
    <row r="66" spans="1:20" ht="12.75" customHeight="1">
      <c r="A66" s="96">
        <v>1988</v>
      </c>
      <c r="B66" s="61">
        <v>62.048000000000002</v>
      </c>
      <c r="C66" s="61">
        <v>61.972999999999999</v>
      </c>
      <c r="D66" s="61">
        <v>53.5</v>
      </c>
      <c r="E66" s="61">
        <v>44.386000000000003</v>
      </c>
      <c r="F66" s="22">
        <v>118.3</v>
      </c>
      <c r="G66" s="22">
        <v>125.7</v>
      </c>
      <c r="H66" s="22">
        <v>138.6</v>
      </c>
      <c r="I66" s="100">
        <f t="shared" si="8"/>
        <v>51.295035696496768</v>
      </c>
      <c r="J66" s="100">
        <f t="shared" si="8"/>
        <v>55.782251512142288</v>
      </c>
      <c r="K66" s="99">
        <f t="shared" si="4"/>
        <v>3.5013094463627548E-2</v>
      </c>
      <c r="L66" s="99">
        <f t="shared" si="1"/>
        <v>4.1373239436619746E-2</v>
      </c>
      <c r="M66" s="85">
        <f t="shared" si="2"/>
        <v>7.4929768478155578E-2</v>
      </c>
      <c r="N66" s="85">
        <f t="shared" si="6"/>
        <v>6.5334358186010855E-2</v>
      </c>
      <c r="O66" s="102">
        <f t="shared" si="6"/>
        <v>6.0954670329670391E-2</v>
      </c>
      <c r="P66" s="103">
        <f t="shared" si="7"/>
        <v>6.0954670329670391E-2</v>
      </c>
      <c r="Q66" s="54">
        <f t="shared" si="9"/>
        <v>0.81349070693366177</v>
      </c>
      <c r="R66" s="54">
        <f t="shared" si="9"/>
        <v>0.93296501292824785</v>
      </c>
      <c r="S66" s="54">
        <f t="shared" si="9"/>
        <v>1</v>
      </c>
      <c r="T66" s="98"/>
    </row>
    <row r="67" spans="1:20" ht="12.75" customHeight="1">
      <c r="A67" s="96">
        <v>1989</v>
      </c>
      <c r="B67" s="61">
        <v>64.459999999999994</v>
      </c>
      <c r="C67" s="61">
        <v>64.64</v>
      </c>
      <c r="D67" s="61">
        <v>55.965000000000003</v>
      </c>
      <c r="E67" s="61">
        <v>48.133000000000003</v>
      </c>
      <c r="F67" s="22">
        <v>124</v>
      </c>
      <c r="G67" s="22">
        <v>131.9</v>
      </c>
      <c r="H67" s="22">
        <v>149.30000000000001</v>
      </c>
      <c r="I67" s="100">
        <f t="shared" si="8"/>
        <v>54.789971774863027</v>
      </c>
      <c r="J67" s="100">
        <f t="shared" si="8"/>
        <v>59.582919563058596</v>
      </c>
      <c r="K67" s="99">
        <f t="shared" si="4"/>
        <v>3.8873130479628593E-2</v>
      </c>
      <c r="L67" s="99">
        <f t="shared" si="1"/>
        <v>4.8182586644125225E-2</v>
      </c>
      <c r="M67" s="85">
        <f t="shared" si="2"/>
        <v>8.4418510341098596E-2</v>
      </c>
      <c r="N67" s="85">
        <f t="shared" si="6"/>
        <v>7.7200577200577269E-2</v>
      </c>
      <c r="O67" s="102">
        <f t="shared" si="6"/>
        <v>6.8134002265738625E-2</v>
      </c>
      <c r="P67" s="103">
        <f t="shared" si="7"/>
        <v>6.8134002265738625E-2</v>
      </c>
      <c r="Q67" s="54">
        <f t="shared" si="9"/>
        <v>0.80709789820311517</v>
      </c>
      <c r="R67" s="54">
        <f t="shared" si="9"/>
        <v>0.88255819757302478</v>
      </c>
      <c r="S67" s="54">
        <f t="shared" si="9"/>
        <v>1</v>
      </c>
      <c r="T67" s="98"/>
    </row>
    <row r="68" spans="1:20" ht="18" customHeight="1">
      <c r="A68" s="96">
        <v>1990</v>
      </c>
      <c r="B68" s="61">
        <v>66.844999999999999</v>
      </c>
      <c r="C68" s="61">
        <v>67.438999999999993</v>
      </c>
      <c r="D68" s="61">
        <v>58.472000000000001</v>
      </c>
      <c r="E68" s="61">
        <v>52.136000000000003</v>
      </c>
      <c r="F68" s="22">
        <v>130.69999999999999</v>
      </c>
      <c r="G68" s="22">
        <v>139.19999999999999</v>
      </c>
      <c r="H68" s="22">
        <v>162.80000000000001</v>
      </c>
      <c r="I68" s="100">
        <f t="shared" si="8"/>
        <v>58.3</v>
      </c>
      <c r="J68" s="100">
        <f t="shared" si="8"/>
        <v>63.4</v>
      </c>
      <c r="K68" s="99">
        <f t="shared" si="4"/>
        <v>3.6999689730065288E-2</v>
      </c>
      <c r="L68" s="99">
        <f t="shared" si="1"/>
        <v>5.4032258064516059E-2</v>
      </c>
      <c r="M68" s="85">
        <f t="shared" si="2"/>
        <v>8.3165395882242921E-2</v>
      </c>
      <c r="N68" s="85">
        <f t="shared" si="6"/>
        <v>9.0421969189551143E-2</v>
      </c>
      <c r="O68" s="102">
        <f t="shared" si="6"/>
        <v>6.4063333333333361E-2</v>
      </c>
      <c r="P68" s="103">
        <f t="shared" si="7"/>
        <v>6.4063333333333139E-2</v>
      </c>
      <c r="Q68" s="54">
        <f t="shared" si="9"/>
        <v>0.77031237155466525</v>
      </c>
      <c r="R68" s="54">
        <f t="shared" si="9"/>
        <v>0.70849301234567763</v>
      </c>
      <c r="S68" s="54">
        <f t="shared" si="9"/>
        <v>0.99999999999999656</v>
      </c>
      <c r="T68" s="98"/>
    </row>
    <row r="69" spans="1:20" ht="12.75" customHeight="1">
      <c r="A69" s="96">
        <v>1991</v>
      </c>
      <c r="B69" s="61">
        <v>69.069000000000003</v>
      </c>
      <c r="C69" s="61">
        <v>69.650999999999996</v>
      </c>
      <c r="D69" s="61">
        <v>60.697000000000003</v>
      </c>
      <c r="E69" s="61">
        <v>56.104999999999997</v>
      </c>
      <c r="F69" s="22">
        <v>136.19999999999999</v>
      </c>
      <c r="G69" s="22">
        <v>146.30000000000001</v>
      </c>
      <c r="H69" s="22">
        <v>177</v>
      </c>
      <c r="I69" s="100">
        <f t="shared" si="8"/>
        <v>61.771542420720571</v>
      </c>
      <c r="J69" s="100">
        <f t="shared" si="8"/>
        <v>63.977614252517441</v>
      </c>
      <c r="K69" s="99">
        <f t="shared" si="4"/>
        <v>3.3271000074799995E-2</v>
      </c>
      <c r="L69" s="99">
        <f t="shared" si="1"/>
        <v>4.2081101759755102E-2</v>
      </c>
      <c r="M69" s="85">
        <f t="shared" si="2"/>
        <v>7.6127819548872155E-2</v>
      </c>
      <c r="N69" s="85">
        <f t="shared" si="6"/>
        <v>8.722358722358714E-2</v>
      </c>
      <c r="O69" s="102">
        <f t="shared" si="6"/>
        <v>5.9546182173594753E-2</v>
      </c>
      <c r="P69" s="103">
        <f t="shared" si="7"/>
        <v>9.1106348977514351E-3</v>
      </c>
      <c r="Q69" s="54">
        <f t="shared" si="9"/>
        <v>0.11967550038527815</v>
      </c>
      <c r="R69" s="54">
        <f t="shared" si="9"/>
        <v>0.10445150432069965</v>
      </c>
      <c r="S69" s="54">
        <f t="shared" si="9"/>
        <v>0.15300115918752333</v>
      </c>
      <c r="T69" s="98"/>
    </row>
    <row r="70" spans="1:20" ht="12.75" customHeight="1">
      <c r="A70" s="96">
        <v>1992</v>
      </c>
      <c r="B70" s="61">
        <v>70.644000000000005</v>
      </c>
      <c r="C70" s="61">
        <v>71.492999999999995</v>
      </c>
      <c r="D70" s="61">
        <v>62.83</v>
      </c>
      <c r="E70" s="61">
        <v>59.927999999999997</v>
      </c>
      <c r="F70" s="22">
        <v>140.30000000000001</v>
      </c>
      <c r="G70" s="22">
        <v>152</v>
      </c>
      <c r="H70" s="22">
        <v>190.1</v>
      </c>
      <c r="I70" s="100">
        <f t="shared" si="8"/>
        <v>64.98422712933754</v>
      </c>
      <c r="J70" s="100">
        <f t="shared" si="8"/>
        <v>67.305034856700246</v>
      </c>
      <c r="K70" s="99">
        <f t="shared" si="4"/>
        <v>2.2803283672848895E-2</v>
      </c>
      <c r="L70" s="99">
        <f t="shared" si="1"/>
        <v>3.0102790014684411E-2</v>
      </c>
      <c r="M70" s="85">
        <f t="shared" si="2"/>
        <v>6.8140094465733991E-2</v>
      </c>
      <c r="N70" s="85">
        <f t="shared" si="6"/>
        <v>7.4011299435028155E-2</v>
      </c>
      <c r="O70" s="102">
        <f t="shared" si="6"/>
        <v>5.2009138556645684E-2</v>
      </c>
      <c r="P70" s="103">
        <f t="shared" si="7"/>
        <v>5.2009138556645684E-2</v>
      </c>
      <c r="Q70" s="54">
        <f t="shared" si="9"/>
        <v>0.76326777889631225</v>
      </c>
      <c r="R70" s="54">
        <f t="shared" si="9"/>
        <v>0.70271889500200746</v>
      </c>
      <c r="S70" s="54">
        <f t="shared" si="9"/>
        <v>1</v>
      </c>
      <c r="T70" s="98"/>
    </row>
    <row r="71" spans="1:20" ht="12.75" customHeight="1">
      <c r="A71" s="96">
        <v>1993</v>
      </c>
      <c r="B71" s="61">
        <v>72.325000000000003</v>
      </c>
      <c r="C71" s="61">
        <v>73.278000000000006</v>
      </c>
      <c r="D71" s="61">
        <v>65.004999999999995</v>
      </c>
      <c r="E71" s="61">
        <v>62.948999999999998</v>
      </c>
      <c r="F71" s="22">
        <v>144.5</v>
      </c>
      <c r="G71" s="22">
        <v>157.9</v>
      </c>
      <c r="H71" s="22">
        <v>201.4</v>
      </c>
      <c r="I71" s="100">
        <f t="shared" si="8"/>
        <v>67.964469533455087</v>
      </c>
      <c r="J71" s="100">
        <f t="shared" si="8"/>
        <v>70.391711851278089</v>
      </c>
      <c r="K71" s="99">
        <f t="shared" si="4"/>
        <v>2.3795368325689292E-2</v>
      </c>
      <c r="L71" s="99">
        <f t="shared" si="1"/>
        <v>2.9935851746258013E-2</v>
      </c>
      <c r="M71" s="85">
        <f t="shared" si="2"/>
        <v>5.0410492591109302E-2</v>
      </c>
      <c r="N71" s="85">
        <f t="shared" si="6"/>
        <v>5.9442398737506563E-2</v>
      </c>
      <c r="O71" s="102">
        <f t="shared" si="6"/>
        <v>4.5861011752682534E-2</v>
      </c>
      <c r="P71" s="103">
        <f t="shared" si="7"/>
        <v>4.5861011752682534E-2</v>
      </c>
      <c r="Q71" s="54">
        <f t="shared" ref="Q71:S86" si="10">($J71/$J70-1)/M71</f>
        <v>0.90975131159045364</v>
      </c>
      <c r="R71" s="54">
        <f t="shared" si="10"/>
        <v>0.77152020656503995</v>
      </c>
      <c r="S71" s="54">
        <f t="shared" si="10"/>
        <v>1</v>
      </c>
      <c r="T71" s="98"/>
    </row>
    <row r="72" spans="1:20" ht="12.75" customHeight="1">
      <c r="A72" s="96">
        <v>1994</v>
      </c>
      <c r="B72" s="61">
        <v>73.864999999999995</v>
      </c>
      <c r="C72" s="61">
        <v>74.802000000000007</v>
      </c>
      <c r="D72" s="61">
        <v>66.762</v>
      </c>
      <c r="E72" s="61">
        <v>65.361999999999995</v>
      </c>
      <c r="F72" s="22">
        <v>148.19999999999999</v>
      </c>
      <c r="G72" s="22">
        <v>163.1</v>
      </c>
      <c r="H72" s="22">
        <v>211</v>
      </c>
      <c r="I72" s="100">
        <f t="shared" si="8"/>
        <v>70.479827328573805</v>
      </c>
      <c r="J72" s="100">
        <f t="shared" si="8"/>
        <v>72.996901626646022</v>
      </c>
      <c r="K72" s="99">
        <f t="shared" si="4"/>
        <v>2.1292775665399111E-2</v>
      </c>
      <c r="L72" s="99">
        <f t="shared" ref="L72:L99" si="11">F72/F71-1</f>
        <v>2.5605536332179879E-2</v>
      </c>
      <c r="M72" s="85">
        <f t="shared" ref="M72:M97" si="12">E72/E71-1</f>
        <v>3.8332618468919222E-2</v>
      </c>
      <c r="N72" s="85">
        <f t="shared" ref="N72:O97" si="13">H72/H71-1</f>
        <v>4.7666335650446756E-2</v>
      </c>
      <c r="O72" s="102">
        <f t="shared" si="13"/>
        <v>3.700989373396868E-2</v>
      </c>
      <c r="P72" s="103">
        <f t="shared" si="7"/>
        <v>3.7009893733968457E-2</v>
      </c>
      <c r="Q72" s="54">
        <f t="shared" si="10"/>
        <v>0.96549349384980698</v>
      </c>
      <c r="R72" s="54">
        <f t="shared" si="10"/>
        <v>0.77643672896054849</v>
      </c>
      <c r="S72" s="54">
        <f t="shared" si="10"/>
        <v>0.999999999999994</v>
      </c>
      <c r="T72" s="98"/>
    </row>
    <row r="73" spans="1:20" ht="12.75" customHeight="1">
      <c r="A73" s="96">
        <v>1995</v>
      </c>
      <c r="B73" s="61">
        <v>75.406000000000006</v>
      </c>
      <c r="C73" s="61">
        <v>76.353999999999999</v>
      </c>
      <c r="D73" s="61">
        <v>68.593000000000004</v>
      </c>
      <c r="E73" s="61">
        <v>67.539000000000001</v>
      </c>
      <c r="F73" s="22">
        <v>152.4</v>
      </c>
      <c r="G73" s="22">
        <v>168.7</v>
      </c>
      <c r="H73" s="22">
        <v>220.5</v>
      </c>
      <c r="I73" s="100">
        <f t="shared" si="8"/>
        <v>72.920471525817703</v>
      </c>
      <c r="J73" s="100">
        <f t="shared" si="8"/>
        <v>75.524709527498075</v>
      </c>
      <c r="K73" s="99">
        <f t="shared" ref="K73:K97" si="14">B73/B72-1</f>
        <v>2.0862384079063379E-2</v>
      </c>
      <c r="L73" s="99">
        <f t="shared" si="11"/>
        <v>2.8340080971660075E-2</v>
      </c>
      <c r="M73" s="85">
        <f t="shared" si="12"/>
        <v>3.3306814356965919E-2</v>
      </c>
      <c r="N73" s="85">
        <f t="shared" si="13"/>
        <v>4.502369668246442E-2</v>
      </c>
      <c r="O73" s="102">
        <f t="shared" si="13"/>
        <v>3.4628975265017736E-2</v>
      </c>
      <c r="P73" s="103">
        <f t="shared" si="7"/>
        <v>3.4628975265017736E-2</v>
      </c>
      <c r="Q73" s="54">
        <f t="shared" si="10"/>
        <v>1.0396964084851092</v>
      </c>
      <c r="R73" s="54">
        <f t="shared" si="10"/>
        <v>0.7691277664124998</v>
      </c>
      <c r="S73" s="54">
        <f t="shared" si="10"/>
        <v>1</v>
      </c>
      <c r="T73" s="98"/>
    </row>
    <row r="74" spans="1:20" ht="12.75" customHeight="1">
      <c r="A74" s="96">
        <v>1996</v>
      </c>
      <c r="B74" s="61">
        <v>76.783000000000001</v>
      </c>
      <c r="C74" s="61">
        <v>77.98</v>
      </c>
      <c r="D74" s="61">
        <v>70.460999999999999</v>
      </c>
      <c r="E74" s="61">
        <v>69.114999999999995</v>
      </c>
      <c r="F74" s="22">
        <v>156.9</v>
      </c>
      <c r="G74" s="22">
        <v>174.1</v>
      </c>
      <c r="H74" s="22">
        <v>228.2</v>
      </c>
      <c r="I74" s="100">
        <f t="shared" si="8"/>
        <v>75.020753777187451</v>
      </c>
      <c r="J74" s="104">
        <f t="shared" si="8"/>
        <v>77.7</v>
      </c>
      <c r="K74" s="99">
        <f t="shared" si="14"/>
        <v>1.8261146327878341E-2</v>
      </c>
      <c r="L74" s="99">
        <f t="shared" si="11"/>
        <v>2.9527559055118058E-2</v>
      </c>
      <c r="M74" s="85">
        <f t="shared" si="12"/>
        <v>2.3334665896741047E-2</v>
      </c>
      <c r="N74" s="85">
        <f t="shared" si="13"/>
        <v>3.4920634920634797E-2</v>
      </c>
      <c r="O74" s="102">
        <f t="shared" si="13"/>
        <v>2.8802367941712204E-2</v>
      </c>
      <c r="P74" s="103">
        <f t="shared" si="7"/>
        <v>2.8802367941711982E-2</v>
      </c>
      <c r="Q74" s="54">
        <f t="shared" si="10"/>
        <v>1.2343167058472675</v>
      </c>
      <c r="R74" s="54">
        <f t="shared" si="10"/>
        <v>0.82479508196720963</v>
      </c>
      <c r="S74" s="54">
        <f t="shared" si="10"/>
        <v>0.99999999999999234</v>
      </c>
      <c r="T74" s="98"/>
    </row>
    <row r="75" spans="1:20" ht="12.75" customHeight="1">
      <c r="A75" s="96">
        <v>1997</v>
      </c>
      <c r="B75" s="61">
        <v>78.096000000000004</v>
      </c>
      <c r="C75" s="61">
        <v>79.325999999999993</v>
      </c>
      <c r="D75" s="61">
        <v>72.427000000000007</v>
      </c>
      <c r="E75" s="61">
        <v>70.457999999999998</v>
      </c>
      <c r="F75" s="22">
        <v>160.5</v>
      </c>
      <c r="G75" s="22">
        <v>179.4</v>
      </c>
      <c r="H75" s="22">
        <v>234.6</v>
      </c>
      <c r="I75" s="100">
        <f t="shared" si="8"/>
        <v>76.589739332558523</v>
      </c>
      <c r="J75" s="104">
        <f t="shared" si="8"/>
        <v>79.099999999999994</v>
      </c>
      <c r="K75" s="99">
        <f t="shared" si="14"/>
        <v>1.7100139353763311E-2</v>
      </c>
      <c r="L75" s="99">
        <f t="shared" si="11"/>
        <v>2.2944550669216079E-2</v>
      </c>
      <c r="M75" s="85">
        <f t="shared" si="12"/>
        <v>1.9431382478477977E-2</v>
      </c>
      <c r="N75" s="85">
        <f t="shared" si="13"/>
        <v>2.8045574057844025E-2</v>
      </c>
      <c r="O75" s="102">
        <f t="shared" si="13"/>
        <v>2.091402013942667E-2</v>
      </c>
      <c r="P75" s="103">
        <f t="shared" si="7"/>
        <v>1.8018018018017834E-2</v>
      </c>
      <c r="Q75" s="54">
        <f t="shared" si="10"/>
        <v>0.92726382376418293</v>
      </c>
      <c r="R75" s="54">
        <f t="shared" si="10"/>
        <v>0.64245495495494775</v>
      </c>
      <c r="S75" s="54">
        <f t="shared" si="10"/>
        <v>0.86152819486152477</v>
      </c>
      <c r="T75" s="98"/>
    </row>
    <row r="76" spans="1:20" ht="12.75" customHeight="1">
      <c r="A76" s="96">
        <v>1998</v>
      </c>
      <c r="B76" s="61">
        <v>78.944000000000003</v>
      </c>
      <c r="C76" s="61">
        <v>79.933999999999997</v>
      </c>
      <c r="D76" s="61">
        <v>73.921000000000006</v>
      </c>
      <c r="E76" s="61">
        <v>71.834000000000003</v>
      </c>
      <c r="F76" s="22">
        <v>163</v>
      </c>
      <c r="G76" s="22">
        <v>184.2</v>
      </c>
      <c r="H76" s="22">
        <v>242.1</v>
      </c>
      <c r="I76" s="100">
        <f t="shared" si="8"/>
        <v>78.258343018429358</v>
      </c>
      <c r="J76" s="104">
        <f t="shared" si="8"/>
        <v>80.7</v>
      </c>
      <c r="K76" s="99">
        <f t="shared" si="14"/>
        <v>1.0858430649457018E-2</v>
      </c>
      <c r="L76" s="99">
        <f t="shared" si="11"/>
        <v>1.5576323987538832E-2</v>
      </c>
      <c r="M76" s="85">
        <f t="shared" si="12"/>
        <v>1.9529365011780042E-2</v>
      </c>
      <c r="N76" s="85">
        <f t="shared" si="13"/>
        <v>3.1969309462915652E-2</v>
      </c>
      <c r="O76" s="102">
        <f t="shared" si="13"/>
        <v>2.1786256232386725E-2</v>
      </c>
      <c r="P76" s="103">
        <f t="shared" si="7"/>
        <v>2.0227560050569027E-2</v>
      </c>
      <c r="Q76" s="54">
        <f t="shared" si="10"/>
        <v>1.0357510363684552</v>
      </c>
      <c r="R76" s="54">
        <f t="shared" si="10"/>
        <v>0.63271807838179817</v>
      </c>
      <c r="S76" s="54">
        <f t="shared" si="10"/>
        <v>0.92845506978383041</v>
      </c>
      <c r="T76" s="98"/>
    </row>
    <row r="77" spans="1:20" ht="12.75" customHeight="1">
      <c r="A77" s="96">
        <v>1999</v>
      </c>
      <c r="B77" s="61">
        <v>80.070999999999998</v>
      </c>
      <c r="C77" s="61">
        <v>81.108999999999995</v>
      </c>
      <c r="D77" s="61">
        <v>75.403000000000006</v>
      </c>
      <c r="E77" s="61">
        <v>73.578999999999994</v>
      </c>
      <c r="F77" s="22">
        <v>166.6</v>
      </c>
      <c r="G77" s="22">
        <v>188.8</v>
      </c>
      <c r="H77" s="22">
        <v>250.6</v>
      </c>
      <c r="I77" s="100">
        <f t="shared" si="8"/>
        <v>80.358625269799106</v>
      </c>
      <c r="J77" s="104">
        <f t="shared" si="8"/>
        <v>82.7</v>
      </c>
      <c r="K77" s="99">
        <f t="shared" si="14"/>
        <v>1.4275942440210798E-2</v>
      </c>
      <c r="L77" s="99">
        <f t="shared" si="11"/>
        <v>2.208588957055202E-2</v>
      </c>
      <c r="M77" s="85">
        <f t="shared" si="12"/>
        <v>2.4292117938580438E-2</v>
      </c>
      <c r="N77" s="85">
        <f t="shared" si="13"/>
        <v>3.5109458901280366E-2</v>
      </c>
      <c r="O77" s="102">
        <f t="shared" si="13"/>
        <v>2.6837806301050149E-2</v>
      </c>
      <c r="P77" s="103">
        <f t="shared" si="7"/>
        <v>2.4783147459727317E-2</v>
      </c>
      <c r="Q77" s="54">
        <f t="shared" si="10"/>
        <v>1.0202135327347079</v>
      </c>
      <c r="R77" s="54">
        <f t="shared" si="10"/>
        <v>0.70588235294117652</v>
      </c>
      <c r="S77" s="54">
        <f t="shared" si="10"/>
        <v>0.92344162491244919</v>
      </c>
      <c r="T77" s="98"/>
    </row>
    <row r="78" spans="1:20" ht="18" customHeight="1">
      <c r="A78" s="96">
        <v>2000</v>
      </c>
      <c r="B78" s="61">
        <v>81.891000000000005</v>
      </c>
      <c r="C78" s="61">
        <v>83.128</v>
      </c>
      <c r="D78" s="61">
        <v>77.497</v>
      </c>
      <c r="E78" s="61">
        <v>75.733000000000004</v>
      </c>
      <c r="F78" s="22">
        <v>172.2</v>
      </c>
      <c r="G78" s="22">
        <v>195.3</v>
      </c>
      <c r="H78" s="22">
        <v>260.8</v>
      </c>
      <c r="I78" s="100">
        <f t="shared" si="8"/>
        <v>83</v>
      </c>
      <c r="J78" s="104">
        <f t="shared" si="8"/>
        <v>85.1</v>
      </c>
      <c r="K78" s="99">
        <f t="shared" si="14"/>
        <v>2.2729827278290538E-2</v>
      </c>
      <c r="L78" s="99">
        <f t="shared" si="11"/>
        <v>3.3613445378151141E-2</v>
      </c>
      <c r="M78" s="85">
        <f t="shared" si="12"/>
        <v>2.9274657171203922E-2</v>
      </c>
      <c r="N78" s="85">
        <f t="shared" si="13"/>
        <v>4.0702314445331345E-2</v>
      </c>
      <c r="O78" s="102">
        <f t="shared" si="13"/>
        <v>3.2869834710743673E-2</v>
      </c>
      <c r="P78" s="103">
        <f t="shared" si="7"/>
        <v>2.9020556227327576E-2</v>
      </c>
      <c r="Q78" s="54">
        <f t="shared" si="10"/>
        <v>0.99132010522308378</v>
      </c>
      <c r="R78" s="54">
        <f t="shared" si="10"/>
        <v>0.71299523436943779</v>
      </c>
      <c r="S78" s="54">
        <f t="shared" si="10"/>
        <v>0.8828932814147088</v>
      </c>
      <c r="T78" s="98"/>
    </row>
    <row r="79" spans="1:20" ht="12.75" customHeight="1">
      <c r="A79" s="96">
        <v>2001</v>
      </c>
      <c r="B79" s="61">
        <v>83.766000000000005</v>
      </c>
      <c r="C79" s="61">
        <v>84.730999999999995</v>
      </c>
      <c r="D79" s="61">
        <v>79.870999999999995</v>
      </c>
      <c r="E79" s="61">
        <v>78.396000000000001</v>
      </c>
      <c r="F79" s="22">
        <v>177.1</v>
      </c>
      <c r="G79" s="22">
        <v>203.4</v>
      </c>
      <c r="H79" s="22">
        <v>272.8</v>
      </c>
      <c r="I79" s="100">
        <f t="shared" si="8"/>
        <v>86.144778349659646</v>
      </c>
      <c r="J79" s="104">
        <f t="shared" si="8"/>
        <v>88.3</v>
      </c>
      <c r="K79" s="99">
        <f t="shared" si="14"/>
        <v>2.2896288969483924E-2</v>
      </c>
      <c r="L79" s="99">
        <f t="shared" si="11"/>
        <v>2.8455284552845628E-2</v>
      </c>
      <c r="M79" s="85">
        <f t="shared" si="12"/>
        <v>3.5163006879431746E-2</v>
      </c>
      <c r="N79" s="85">
        <f t="shared" si="13"/>
        <v>4.6012269938650263E-2</v>
      </c>
      <c r="O79" s="102">
        <f t="shared" si="13"/>
        <v>3.7888895779031984E-2</v>
      </c>
      <c r="P79" s="103">
        <f t="shared" si="7"/>
        <v>3.7602820211515953E-2</v>
      </c>
      <c r="Q79" s="54">
        <f t="shared" si="10"/>
        <v>1.0693857991283262</v>
      </c>
      <c r="R79" s="54">
        <f t="shared" si="10"/>
        <v>0.81723462593028084</v>
      </c>
      <c r="S79" s="54">
        <f t="shared" si="10"/>
        <v>0.99244961982570246</v>
      </c>
      <c r="T79" s="98"/>
    </row>
    <row r="80" spans="1:20" ht="12.75" customHeight="1">
      <c r="A80" s="96">
        <v>2002</v>
      </c>
      <c r="B80" s="61">
        <v>85.054000000000002</v>
      </c>
      <c r="C80" s="61">
        <v>85.872</v>
      </c>
      <c r="D80" s="61">
        <v>81.963999999999999</v>
      </c>
      <c r="E80" s="61">
        <v>80.573999999999998</v>
      </c>
      <c r="F80" s="22">
        <v>179.9</v>
      </c>
      <c r="G80" s="22">
        <v>209.8</v>
      </c>
      <c r="H80" s="22">
        <v>285.60000000000002</v>
      </c>
      <c r="I80" s="100">
        <f t="shared" si="8"/>
        <v>89.457081188776357</v>
      </c>
      <c r="J80" s="104">
        <f t="shared" si="8"/>
        <v>91</v>
      </c>
      <c r="K80" s="99">
        <f t="shared" si="14"/>
        <v>1.5376166941241109E-2</v>
      </c>
      <c r="L80" s="99">
        <f t="shared" si="11"/>
        <v>1.5810276679842028E-2</v>
      </c>
      <c r="M80" s="85">
        <f t="shared" si="12"/>
        <v>2.7782029695392563E-2</v>
      </c>
      <c r="N80" s="85">
        <f t="shared" si="13"/>
        <v>4.692082111436946E-2</v>
      </c>
      <c r="O80" s="102">
        <f t="shared" si="13"/>
        <v>3.8450419196299324E-2</v>
      </c>
      <c r="P80" s="103">
        <f t="shared" si="7"/>
        <v>3.0577576443941101E-2</v>
      </c>
      <c r="Q80" s="54">
        <f t="shared" si="10"/>
        <v>1.1006242804863231</v>
      </c>
      <c r="R80" s="54">
        <f t="shared" si="10"/>
        <v>0.65168459796149525</v>
      </c>
      <c r="S80" s="54">
        <f t="shared" si="10"/>
        <v>0.79524689413227656</v>
      </c>
      <c r="T80" s="98"/>
    </row>
    <row r="81" spans="1:20" ht="12.75" customHeight="1">
      <c r="A81" s="96">
        <v>2003</v>
      </c>
      <c r="B81" s="61">
        <v>86.754000000000005</v>
      </c>
      <c r="C81" s="61">
        <v>87.572999999999993</v>
      </c>
      <c r="D81" s="61">
        <v>84.531000000000006</v>
      </c>
      <c r="E81" s="61">
        <v>83.442999999999998</v>
      </c>
      <c r="F81" s="22">
        <v>184</v>
      </c>
      <c r="G81" s="22">
        <v>216.5</v>
      </c>
      <c r="H81" s="22">
        <v>297.10000000000002</v>
      </c>
      <c r="I81" s="100">
        <f t="shared" si="8"/>
        <v>92.769384027893082</v>
      </c>
      <c r="J81" s="104">
        <f t="shared" si="8"/>
        <v>93.7</v>
      </c>
      <c r="K81" s="99">
        <f t="shared" si="14"/>
        <v>1.9987302184494515E-2</v>
      </c>
      <c r="L81" s="99">
        <f t="shared" si="11"/>
        <v>2.2790439132851503E-2</v>
      </c>
      <c r="M81" s="85">
        <f t="shared" si="12"/>
        <v>3.5607019634125159E-2</v>
      </c>
      <c r="N81" s="85">
        <f t="shared" si="13"/>
        <v>4.026610644257711E-2</v>
      </c>
      <c r="O81" s="102">
        <f t="shared" si="13"/>
        <v>3.7026726057906467E-2</v>
      </c>
      <c r="P81" s="103">
        <f t="shared" si="7"/>
        <v>2.9670329670329787E-2</v>
      </c>
      <c r="Q81" s="54">
        <f t="shared" si="10"/>
        <v>0.83327192152567164</v>
      </c>
      <c r="R81" s="54">
        <f t="shared" si="10"/>
        <v>0.73685618729097135</v>
      </c>
      <c r="S81" s="54">
        <f t="shared" si="10"/>
        <v>0.80132198628439522</v>
      </c>
      <c r="T81" s="98"/>
    </row>
    <row r="82" spans="1:20" ht="12.75" customHeight="1">
      <c r="A82" s="96">
        <v>2004</v>
      </c>
      <c r="B82" s="61">
        <v>89.132000000000005</v>
      </c>
      <c r="C82" s="61">
        <v>89.703000000000003</v>
      </c>
      <c r="D82" s="61">
        <v>87.055999999999997</v>
      </c>
      <c r="E82" s="61">
        <v>86.370999999999995</v>
      </c>
      <c r="F82" s="22">
        <v>188.9</v>
      </c>
      <c r="G82" s="22">
        <v>222.8</v>
      </c>
      <c r="H82" s="22">
        <v>310.10000000000002</v>
      </c>
      <c r="I82" s="100">
        <f t="shared" si="8"/>
        <v>96.6</v>
      </c>
      <c r="J82" s="104">
        <f t="shared" si="8"/>
        <v>97</v>
      </c>
      <c r="K82" s="99">
        <f t="shared" si="14"/>
        <v>2.7410839846001345E-2</v>
      </c>
      <c r="L82" s="99">
        <f t="shared" si="11"/>
        <v>2.6630434782608736E-2</v>
      </c>
      <c r="M82" s="85">
        <f t="shared" si="12"/>
        <v>3.5089821794518361E-2</v>
      </c>
      <c r="N82" s="85">
        <f t="shared" si="13"/>
        <v>4.375631100639521E-2</v>
      </c>
      <c r="O82" s="102">
        <f t="shared" si="13"/>
        <v>4.1291812080536783E-2</v>
      </c>
      <c r="P82" s="103">
        <f t="shared" si="7"/>
        <v>3.5218783351120608E-2</v>
      </c>
      <c r="Q82" s="54">
        <f t="shared" si="10"/>
        <v>1.0036751841419267</v>
      </c>
      <c r="R82" s="54">
        <f t="shared" si="10"/>
        <v>0.80488465643214768</v>
      </c>
      <c r="S82" s="54">
        <f t="shared" si="10"/>
        <v>0.85292414104832315</v>
      </c>
      <c r="T82" s="98"/>
    </row>
    <row r="83" spans="1:20" ht="12.75" customHeight="1">
      <c r="A83" s="96">
        <v>2005</v>
      </c>
      <c r="B83" s="61">
        <v>91.991</v>
      </c>
      <c r="C83" s="61">
        <v>92.26</v>
      </c>
      <c r="D83" s="61">
        <v>89.93</v>
      </c>
      <c r="E83" s="61">
        <v>89.05</v>
      </c>
      <c r="F83" s="22">
        <v>195.3</v>
      </c>
      <c r="G83" s="22">
        <v>230.1</v>
      </c>
      <c r="H83" s="22">
        <v>323.2</v>
      </c>
      <c r="I83" s="100">
        <f t="shared" si="8"/>
        <v>100</v>
      </c>
      <c r="J83" s="104">
        <f t="shared" si="8"/>
        <v>100</v>
      </c>
      <c r="K83" s="99">
        <f t="shared" si="14"/>
        <v>3.2076022079612132E-2</v>
      </c>
      <c r="L83" s="99">
        <f t="shared" si="11"/>
        <v>3.3880359978824881E-2</v>
      </c>
      <c r="M83" s="85">
        <f t="shared" si="12"/>
        <v>3.10173553623323E-2</v>
      </c>
      <c r="N83" s="85">
        <f t="shared" si="13"/>
        <v>4.2244437278297298E-2</v>
      </c>
      <c r="O83" s="102">
        <f t="shared" si="13"/>
        <v>3.5196687370600444E-2</v>
      </c>
      <c r="P83" s="103">
        <f t="shared" si="7"/>
        <v>3.0927835051546282E-2</v>
      </c>
      <c r="Q83" s="54">
        <f t="shared" si="10"/>
        <v>0.99711386384363598</v>
      </c>
      <c r="R83" s="54">
        <f t="shared" si="10"/>
        <v>0.73211615644919903</v>
      </c>
      <c r="S83" s="54">
        <f t="shared" si="10"/>
        <v>0.878714372346873</v>
      </c>
      <c r="T83" s="98"/>
    </row>
    <row r="84" spans="1:20" ht="12.75" customHeight="1">
      <c r="A84" s="96">
        <v>2006</v>
      </c>
      <c r="B84" s="61">
        <v>94.817999999999998</v>
      </c>
      <c r="C84" s="61">
        <v>94.727999999999994</v>
      </c>
      <c r="D84" s="61">
        <v>92.974000000000004</v>
      </c>
      <c r="E84" s="61">
        <v>91.864000000000004</v>
      </c>
      <c r="F84" s="22">
        <v>201.6</v>
      </c>
      <c r="G84" s="22">
        <v>238.9</v>
      </c>
      <c r="H84" s="22">
        <v>336.2</v>
      </c>
      <c r="I84" s="100">
        <f t="shared" si="8"/>
        <v>103.4</v>
      </c>
      <c r="J84" s="104">
        <f t="shared" si="8"/>
        <v>103.1</v>
      </c>
      <c r="K84" s="99">
        <f t="shared" si="14"/>
        <v>3.073126718918151E-2</v>
      </c>
      <c r="L84" s="99">
        <f t="shared" si="11"/>
        <v>3.2258064516129004E-2</v>
      </c>
      <c r="M84" s="85">
        <f t="shared" si="12"/>
        <v>3.1600224592925441E-2</v>
      </c>
      <c r="N84" s="85">
        <f t="shared" si="13"/>
        <v>4.0222772277227703E-2</v>
      </c>
      <c r="O84" s="102">
        <f t="shared" si="13"/>
        <v>3.400000000000003E-2</v>
      </c>
      <c r="P84" s="103">
        <f t="shared" si="7"/>
        <v>3.0999999999999917E-2</v>
      </c>
      <c r="Q84" s="54">
        <f t="shared" si="10"/>
        <v>0.98100568585642578</v>
      </c>
      <c r="R84" s="54">
        <f t="shared" si="10"/>
        <v>0.77070769230769065</v>
      </c>
      <c r="S84" s="54">
        <f t="shared" si="10"/>
        <v>0.9117647058823497</v>
      </c>
      <c r="T84" s="98"/>
    </row>
    <row r="85" spans="1:20" ht="12.75" customHeight="1">
      <c r="A85" s="96">
        <v>2007</v>
      </c>
      <c r="B85" s="61">
        <v>97.334999999999994</v>
      </c>
      <c r="C85" s="61">
        <v>97.099000000000004</v>
      </c>
      <c r="D85" s="61">
        <v>95.977000000000004</v>
      </c>
      <c r="E85" s="61">
        <v>94.869</v>
      </c>
      <c r="F85" s="22">
        <v>207.34200000000001</v>
      </c>
      <c r="G85" s="22">
        <v>246.84800000000001</v>
      </c>
      <c r="H85" s="22">
        <v>351.05399999999997</v>
      </c>
      <c r="I85" s="100">
        <f t="shared" si="8"/>
        <v>106.9</v>
      </c>
      <c r="J85" s="104">
        <f t="shared" si="8"/>
        <v>106.5</v>
      </c>
      <c r="K85" s="99">
        <f t="shared" si="14"/>
        <v>2.6545592608998358E-2</v>
      </c>
      <c r="L85" s="99">
        <f t="shared" si="11"/>
        <v>2.84821428571429E-2</v>
      </c>
      <c r="M85" s="85">
        <f t="shared" si="12"/>
        <v>3.27113994600714E-2</v>
      </c>
      <c r="N85" s="85">
        <f t="shared" si="13"/>
        <v>4.4182034503271739E-2</v>
      </c>
      <c r="O85" s="102">
        <f t="shared" si="13"/>
        <v>3.3849129593810368E-2</v>
      </c>
      <c r="P85" s="103">
        <f t="shared" si="7"/>
        <v>3.2977691561590694E-2</v>
      </c>
      <c r="Q85" s="54">
        <f t="shared" si="10"/>
        <v>1.0081406514522357</v>
      </c>
      <c r="R85" s="54">
        <f t="shared" si="10"/>
        <v>0.74640500222208306</v>
      </c>
      <c r="S85" s="54">
        <f t="shared" si="10"/>
        <v>0.97425523070528164</v>
      </c>
      <c r="T85" s="98"/>
    </row>
    <row r="86" spans="1:20" ht="12.75" customHeight="1">
      <c r="A86" s="96">
        <v>2008</v>
      </c>
      <c r="B86" s="61">
        <v>99.236000000000004</v>
      </c>
      <c r="C86" s="61">
        <v>100.063</v>
      </c>
      <c r="D86" s="61">
        <v>98.942999999999998</v>
      </c>
      <c r="E86" s="61">
        <v>97.320999999999998</v>
      </c>
      <c r="F86" s="22">
        <v>215.303</v>
      </c>
      <c r="G86" s="22">
        <v>255.49799999999999</v>
      </c>
      <c r="H86" s="22">
        <v>364.065</v>
      </c>
      <c r="I86" s="97" t="s">
        <v>65</v>
      </c>
      <c r="J86" s="104">
        <f>E248</f>
        <v>109.3</v>
      </c>
      <c r="K86" s="99">
        <f t="shared" si="14"/>
        <v>1.9530487491652648E-2</v>
      </c>
      <c r="L86" s="99">
        <f t="shared" si="11"/>
        <v>3.8395501152684863E-2</v>
      </c>
      <c r="M86" s="85">
        <f t="shared" si="12"/>
        <v>2.5846166819508909E-2</v>
      </c>
      <c r="N86" s="85">
        <f t="shared" si="13"/>
        <v>3.7062674118511829E-2</v>
      </c>
      <c r="O86" s="97" t="s">
        <v>66</v>
      </c>
      <c r="P86" s="103">
        <f t="shared" si="7"/>
        <v>2.6291079812206464E-2</v>
      </c>
      <c r="Q86" s="54">
        <f t="shared" si="10"/>
        <v>1.0172138869103688</v>
      </c>
      <c r="R86" s="54">
        <f t="shared" si="10"/>
        <v>0.70936812945924921</v>
      </c>
      <c r="S86" s="97" t="s">
        <v>66</v>
      </c>
      <c r="T86" s="98"/>
    </row>
    <row r="87" spans="1:20" ht="12.75" customHeight="1">
      <c r="A87" s="96">
        <v>2009</v>
      </c>
      <c r="B87" s="61">
        <v>100</v>
      </c>
      <c r="C87" s="61">
        <v>100</v>
      </c>
      <c r="D87" s="61">
        <v>100</v>
      </c>
      <c r="E87" s="61">
        <v>100</v>
      </c>
      <c r="F87" s="22">
        <v>214.53700000000001</v>
      </c>
      <c r="G87" s="22">
        <v>259.154</v>
      </c>
      <c r="H87" s="22">
        <v>375.613</v>
      </c>
      <c r="I87" s="97" t="s">
        <v>65</v>
      </c>
      <c r="J87" s="104">
        <f>E249</f>
        <v>112.3</v>
      </c>
      <c r="K87" s="99">
        <f t="shared" si="14"/>
        <v>7.6988189769842119E-3</v>
      </c>
      <c r="L87" s="99">
        <f t="shared" si="11"/>
        <v>-3.5577767146764971E-3</v>
      </c>
      <c r="M87" s="85">
        <f t="shared" si="12"/>
        <v>2.752746067138645E-2</v>
      </c>
      <c r="N87" s="85">
        <f t="shared" si="13"/>
        <v>3.1719610509112428E-2</v>
      </c>
      <c r="O87" s="97" t="s">
        <v>66</v>
      </c>
      <c r="P87" s="103">
        <f t="shared" si="7"/>
        <v>2.7447392497712775E-2</v>
      </c>
      <c r="Q87" s="54">
        <f t="shared" ref="Q87:R97" si="15">($J87/$J86-1)/M87</f>
        <v>0.99709133455390231</v>
      </c>
      <c r="R87" s="54">
        <f t="shared" si="15"/>
        <v>0.86531303686177585</v>
      </c>
      <c r="S87" s="97" t="s">
        <v>66</v>
      </c>
      <c r="T87" s="98"/>
    </row>
    <row r="88" spans="1:20" ht="18" customHeight="1">
      <c r="A88" s="96">
        <v>2010</v>
      </c>
      <c r="B88" s="61">
        <v>101.211</v>
      </c>
      <c r="C88" s="61">
        <v>101.654</v>
      </c>
      <c r="D88" s="61">
        <v>101.663</v>
      </c>
      <c r="E88" s="61">
        <v>102.61</v>
      </c>
      <c r="F88" s="22">
        <v>218.05600000000001</v>
      </c>
      <c r="G88" s="22">
        <v>261.274</v>
      </c>
      <c r="H88" s="22">
        <v>388.43599999999998</v>
      </c>
      <c r="I88" s="97" t="s">
        <v>65</v>
      </c>
      <c r="J88" s="104">
        <f>E250</f>
        <v>115.4</v>
      </c>
      <c r="K88" s="99">
        <f t="shared" si="14"/>
        <v>1.2110000000000065E-2</v>
      </c>
      <c r="L88" s="99">
        <f t="shared" si="11"/>
        <v>1.6402765024214894E-2</v>
      </c>
      <c r="M88" s="85">
        <f t="shared" si="12"/>
        <v>2.6100000000000012E-2</v>
      </c>
      <c r="N88" s="85">
        <f t="shared" si="13"/>
        <v>3.4138861008538024E-2</v>
      </c>
      <c r="O88" s="97" t="s">
        <v>66</v>
      </c>
      <c r="P88" s="103">
        <f t="shared" si="7"/>
        <v>2.7604630454140855E-2</v>
      </c>
      <c r="Q88" s="54">
        <f t="shared" si="15"/>
        <v>1.0576486764038637</v>
      </c>
      <c r="R88" s="54">
        <f t="shared" si="15"/>
        <v>0.80859846048282114</v>
      </c>
      <c r="S88" s="97" t="s">
        <v>66</v>
      </c>
      <c r="T88" s="98"/>
    </row>
    <row r="89" spans="1:20" ht="12.75" customHeight="1">
      <c r="A89" s="96">
        <v>2011</v>
      </c>
      <c r="B89" s="61">
        <v>103.199</v>
      </c>
      <c r="C89" s="61">
        <v>104.086</v>
      </c>
      <c r="D89" s="61">
        <v>103.46299999999999</v>
      </c>
      <c r="E89" s="61">
        <v>104.72499999999999</v>
      </c>
      <c r="F89" s="22">
        <v>224.93899999999999</v>
      </c>
      <c r="G89" s="22">
        <v>265.762</v>
      </c>
      <c r="H89" s="22">
        <v>400.25799999999998</v>
      </c>
      <c r="I89" s="97" t="s">
        <v>65</v>
      </c>
      <c r="J89" s="104">
        <f>E251</f>
        <v>117.8</v>
      </c>
      <c r="K89" s="99">
        <f t="shared" si="14"/>
        <v>1.9642133760164437E-2</v>
      </c>
      <c r="L89" s="99">
        <f t="shared" si="11"/>
        <v>3.1565285981582702E-2</v>
      </c>
      <c r="M89" s="85">
        <f t="shared" si="12"/>
        <v>2.0612026118312032E-2</v>
      </c>
      <c r="N89" s="85">
        <f t="shared" si="13"/>
        <v>3.0434872153971337E-2</v>
      </c>
      <c r="O89" s="97" t="s">
        <v>66</v>
      </c>
      <c r="P89" s="103">
        <f t="shared" si="7"/>
        <v>2.0797227036394972E-2</v>
      </c>
      <c r="Q89" s="54">
        <f t="shared" si="15"/>
        <v>1.0089850904040143</v>
      </c>
      <c r="R89" s="54">
        <f t="shared" si="15"/>
        <v>0.68333544925639567</v>
      </c>
      <c r="S89" s="97" t="s">
        <v>66</v>
      </c>
      <c r="T89" s="98"/>
    </row>
    <row r="90" spans="1:20" ht="12.75" customHeight="1">
      <c r="A90" s="96">
        <v>2012</v>
      </c>
      <c r="B90" s="61">
        <v>105.002</v>
      </c>
      <c r="C90" s="61">
        <v>106.009</v>
      </c>
      <c r="D90" s="61">
        <v>105.68899999999999</v>
      </c>
      <c r="E90" s="61">
        <v>106.82899999999999</v>
      </c>
      <c r="F90" s="22">
        <v>229.59399999999999</v>
      </c>
      <c r="G90" s="22">
        <v>271.37400000000002</v>
      </c>
      <c r="H90" s="22">
        <v>414.92399999999998</v>
      </c>
      <c r="I90" s="97" t="s">
        <v>65</v>
      </c>
      <c r="J90" s="100">
        <f>F267</f>
        <v>121.17863875389928</v>
      </c>
      <c r="K90" s="99">
        <f t="shared" si="14"/>
        <v>1.7471099526158218E-2</v>
      </c>
      <c r="L90" s="99">
        <f t="shared" si="11"/>
        <v>2.0694499397614363E-2</v>
      </c>
      <c r="M90" s="85">
        <f t="shared" si="12"/>
        <v>2.0090713774170377E-2</v>
      </c>
      <c r="N90" s="85">
        <f t="shared" si="13"/>
        <v>3.6641366318724389E-2</v>
      </c>
      <c r="O90" s="97" t="s">
        <v>66</v>
      </c>
      <c r="P90" s="103">
        <f t="shared" si="7"/>
        <v>2.8681143921046592E-2</v>
      </c>
      <c r="Q90" s="54">
        <f t="shared" si="15"/>
        <v>1.4275821279142655</v>
      </c>
      <c r="R90" s="54">
        <f t="shared" si="15"/>
        <v>0.78275312311129674</v>
      </c>
      <c r="S90" s="97" t="s">
        <v>66</v>
      </c>
      <c r="T90" s="98"/>
    </row>
    <row r="91" spans="1:20" ht="12.75" customHeight="1">
      <c r="A91" s="96">
        <v>2013</v>
      </c>
      <c r="B91" s="105">
        <f>G178*100</f>
        <v>106.54532410270983</v>
      </c>
      <c r="C91" s="105">
        <f t="shared" ref="C91:C99" si="16">C90*C121/C120</f>
        <v>107.3386776441688</v>
      </c>
      <c r="D91" s="105">
        <f t="shared" ref="D91:E99" si="17">D90*($C91/$C90)*F$152</f>
        <v>107.40099699976383</v>
      </c>
      <c r="E91" s="105">
        <f t="shared" si="17"/>
        <v>108.61529009701063</v>
      </c>
      <c r="F91" s="21">
        <f t="shared" ref="F91:F99" si="18">H121</f>
        <v>233.58352892865727</v>
      </c>
      <c r="G91" s="21">
        <f t="shared" ref="G91:H99" si="19">G90*($F91/$F90)*F$169</f>
        <v>276.23851014512712</v>
      </c>
      <c r="H91" s="21">
        <f t="shared" si="19"/>
        <v>427.4738974069046</v>
      </c>
      <c r="I91" s="97" t="s">
        <v>65</v>
      </c>
      <c r="J91" s="100">
        <f t="shared" ref="J91:J97" si="20">F268</f>
        <v>124.72536102291841</v>
      </c>
      <c r="K91" s="99">
        <f t="shared" si="14"/>
        <v>1.4698044824954071E-2</v>
      </c>
      <c r="L91" s="99">
        <f t="shared" si="11"/>
        <v>1.7376451164478501E-2</v>
      </c>
      <c r="M91" s="85">
        <f t="shared" si="12"/>
        <v>1.6721022353580306E-2</v>
      </c>
      <c r="N91" s="85">
        <f t="shared" si="13"/>
        <v>3.0246255716479764E-2</v>
      </c>
      <c r="O91" s="97" t="s">
        <v>66</v>
      </c>
      <c r="P91" s="103">
        <f t="shared" si="7"/>
        <v>2.9268543577405159E-2</v>
      </c>
      <c r="Q91" s="54">
        <f t="shared" si="15"/>
        <v>1.7504039500992699</v>
      </c>
      <c r="R91" s="54">
        <f t="shared" si="15"/>
        <v>0.96767493642058</v>
      </c>
      <c r="S91" s="97" t="s">
        <v>66</v>
      </c>
    </row>
    <row r="92" spans="1:20" ht="12.75" customHeight="1">
      <c r="A92" s="96">
        <v>2014</v>
      </c>
      <c r="B92" s="105">
        <f t="shared" ref="B92:B99" si="21">G179*100</f>
        <v>108.34897642577856</v>
      </c>
      <c r="C92" s="105">
        <f t="shared" si="16"/>
        <v>109.12513295785767</v>
      </c>
      <c r="D92" s="105">
        <f t="shared" si="17"/>
        <v>109.58267035850633</v>
      </c>
      <c r="E92" s="105">
        <f t="shared" si="17"/>
        <v>110.8786200062805</v>
      </c>
      <c r="F92" s="21">
        <f t="shared" si="18"/>
        <v>238.11441483914263</v>
      </c>
      <c r="G92" s="21">
        <f t="shared" si="19"/>
        <v>281.74875192755547</v>
      </c>
      <c r="H92" s="21">
        <f t="shared" si="19"/>
        <v>441.27816299038699</v>
      </c>
      <c r="I92" s="97" t="s">
        <v>65</v>
      </c>
      <c r="J92" s="100">
        <f t="shared" si="20"/>
        <v>128.59777597706989</v>
      </c>
      <c r="K92" s="99">
        <f t="shared" si="14"/>
        <v>1.6928498160369898E-2</v>
      </c>
      <c r="L92" s="99">
        <f t="shared" si="11"/>
        <v>1.9397283409778421E-2</v>
      </c>
      <c r="M92" s="85">
        <f t="shared" si="12"/>
        <v>2.0838041377492678E-2</v>
      </c>
      <c r="N92" s="85">
        <f t="shared" si="13"/>
        <v>3.2292651474675527E-2</v>
      </c>
      <c r="O92" s="97" t="s">
        <v>66</v>
      </c>
      <c r="P92" s="103">
        <f t="shared" si="7"/>
        <v>3.1047534538223731E-2</v>
      </c>
      <c r="Q92" s="54">
        <f t="shared" si="15"/>
        <v>1.4899449509567824</v>
      </c>
      <c r="R92" s="54">
        <f t="shared" si="15"/>
        <v>0.96144271592475961</v>
      </c>
      <c r="S92" s="97" t="s">
        <v>66</v>
      </c>
    </row>
    <row r="93" spans="1:20" ht="12.75" customHeight="1">
      <c r="A93" s="96">
        <v>2015</v>
      </c>
      <c r="B93" s="105">
        <f t="shared" si="21"/>
        <v>110.34376295628991</v>
      </c>
      <c r="C93" s="105">
        <f t="shared" si="16"/>
        <v>111.17387946816685</v>
      </c>
      <c r="D93" s="105">
        <f t="shared" si="17"/>
        <v>112.04303787191262</v>
      </c>
      <c r="E93" s="105">
        <f t="shared" si="17"/>
        <v>113.42638410278261</v>
      </c>
      <c r="F93" s="21">
        <f t="shared" si="18"/>
        <v>242.94779984704175</v>
      </c>
      <c r="G93" s="21">
        <f t="shared" si="19"/>
        <v>287.62298557304763</v>
      </c>
      <c r="H93" s="21">
        <f t="shared" si="19"/>
        <v>455.9309595570524</v>
      </c>
      <c r="I93" s="97" t="s">
        <v>65</v>
      </c>
      <c r="J93" s="100">
        <f t="shared" si="20"/>
        <v>132.8095291278085</v>
      </c>
      <c r="K93" s="99">
        <f t="shared" si="14"/>
        <v>1.8410755655618116E-2</v>
      </c>
      <c r="L93" s="99">
        <f t="shared" si="11"/>
        <v>2.0298582138188914E-2</v>
      </c>
      <c r="M93" s="85">
        <f t="shared" si="12"/>
        <v>2.297795640275635E-2</v>
      </c>
      <c r="N93" s="85">
        <f t="shared" si="13"/>
        <v>3.3205351625307244E-2</v>
      </c>
      <c r="O93" s="97" t="s">
        <v>66</v>
      </c>
      <c r="P93" s="103">
        <f t="shared" si="7"/>
        <v>3.2751368511144463E-2</v>
      </c>
      <c r="Q93" s="54">
        <f t="shared" si="15"/>
        <v>1.425338613107288</v>
      </c>
      <c r="R93" s="54">
        <f t="shared" si="15"/>
        <v>0.98632801365016165</v>
      </c>
      <c r="S93" s="97" t="s">
        <v>66</v>
      </c>
    </row>
    <row r="94" spans="1:20" ht="12.75" customHeight="1">
      <c r="A94" s="96">
        <v>2016</v>
      </c>
      <c r="B94" s="105">
        <f t="shared" si="21"/>
        <v>112.49153244708954</v>
      </c>
      <c r="C94" s="105">
        <f t="shared" si="16"/>
        <v>113.26616567615201</v>
      </c>
      <c r="D94" s="105">
        <f t="shared" si="17"/>
        <v>114.56378004277059</v>
      </c>
      <c r="E94" s="105">
        <f t="shared" si="17"/>
        <v>116.03789076826277</v>
      </c>
      <c r="F94" s="21">
        <f t="shared" si="18"/>
        <v>247.9874704812128</v>
      </c>
      <c r="G94" s="21">
        <f t="shared" si="19"/>
        <v>293.74782815676508</v>
      </c>
      <c r="H94" s="21">
        <f t="shared" si="19"/>
        <v>471.2758829224091</v>
      </c>
      <c r="I94" s="97" t="s">
        <v>65</v>
      </c>
      <c r="J94" s="100">
        <f t="shared" si="20"/>
        <v>137.16303482167854</v>
      </c>
      <c r="K94" s="99">
        <f t="shared" si="14"/>
        <v>1.9464348806469634E-2</v>
      </c>
      <c r="L94" s="99">
        <f t="shared" si="11"/>
        <v>2.0743841423318088E-2</v>
      </c>
      <c r="M94" s="85">
        <f t="shared" si="12"/>
        <v>2.3023802496549006E-2</v>
      </c>
      <c r="N94" s="85">
        <f t="shared" si="13"/>
        <v>3.3656243437086619E-2</v>
      </c>
      <c r="O94" s="97" t="s">
        <v>66</v>
      </c>
      <c r="P94" s="103">
        <f t="shared" si="7"/>
        <v>3.2780070243908943E-2</v>
      </c>
      <c r="Q94" s="54">
        <f t="shared" si="15"/>
        <v>1.4237470221881152</v>
      </c>
      <c r="R94" s="54">
        <f t="shared" si="15"/>
        <v>0.9739669938264055</v>
      </c>
      <c r="S94" s="97" t="s">
        <v>66</v>
      </c>
    </row>
    <row r="95" spans="1:20" ht="12.75" customHeight="1">
      <c r="A95" s="96">
        <v>2017</v>
      </c>
      <c r="B95" s="105">
        <f t="shared" si="21"/>
        <v>114.77322553838238</v>
      </c>
      <c r="C95" s="105">
        <f t="shared" si="16"/>
        <v>115.46313486913847</v>
      </c>
      <c r="D95" s="105">
        <f t="shared" si="17"/>
        <v>117.20752673213605</v>
      </c>
      <c r="E95" s="105">
        <f t="shared" si="17"/>
        <v>118.77670468719734</v>
      </c>
      <c r="F95" s="21">
        <f t="shared" si="18"/>
        <v>253.43439433606977</v>
      </c>
      <c r="G95" s="21">
        <f t="shared" si="19"/>
        <v>300.36186030396351</v>
      </c>
      <c r="H95" s="21">
        <f t="shared" si="19"/>
        <v>487.71980872294967</v>
      </c>
      <c r="I95" s="97" t="s">
        <v>65</v>
      </c>
      <c r="J95" s="100">
        <f t="shared" si="20"/>
        <v>141.65377000047121</v>
      </c>
      <c r="K95" s="99">
        <f t="shared" si="14"/>
        <v>2.028324302867901E-2</v>
      </c>
      <c r="L95" s="99">
        <f t="shared" si="11"/>
        <v>2.1964512337205422E-2</v>
      </c>
      <c r="M95" s="85">
        <f t="shared" si="12"/>
        <v>2.3602755106986617E-2</v>
      </c>
      <c r="N95" s="85">
        <f t="shared" si="13"/>
        <v>3.4892355828969768E-2</v>
      </c>
      <c r="O95" s="97" t="s">
        <v>66</v>
      </c>
      <c r="P95" s="103">
        <f t="shared" si="7"/>
        <v>3.2740126992895302E-2</v>
      </c>
      <c r="Q95" s="54">
        <f t="shared" si="15"/>
        <v>1.3871315803807982</v>
      </c>
      <c r="R95" s="54">
        <f t="shared" si="15"/>
        <v>0.9383180417331537</v>
      </c>
      <c r="S95" s="97" t="s">
        <v>66</v>
      </c>
    </row>
    <row r="96" spans="1:20" ht="12.75" customHeight="1">
      <c r="A96" s="96">
        <v>2018</v>
      </c>
      <c r="B96" s="105">
        <f t="shared" si="21"/>
        <v>117.25344298735629</v>
      </c>
      <c r="C96" s="105">
        <f t="shared" si="16"/>
        <v>117.77142559198744</v>
      </c>
      <c r="D96" s="105">
        <f t="shared" si="17"/>
        <v>119.9822799951984</v>
      </c>
      <c r="E96" s="105">
        <f t="shared" si="17"/>
        <v>121.65113356411418</v>
      </c>
      <c r="F96" s="21">
        <f t="shared" si="18"/>
        <v>259.63636349590803</v>
      </c>
      <c r="G96" s="21">
        <f t="shared" si="19"/>
        <v>307.87828252913278</v>
      </c>
      <c r="H96" s="21">
        <f t="shared" si="19"/>
        <v>505.97577284727049</v>
      </c>
      <c r="I96" s="97" t="s">
        <v>65</v>
      </c>
      <c r="J96" s="100">
        <f t="shared" si="20"/>
        <v>146.34760328205746</v>
      </c>
      <c r="K96" s="99">
        <f t="shared" si="14"/>
        <v>2.1609721582186214E-2</v>
      </c>
      <c r="L96" s="99">
        <f t="shared" si="11"/>
        <v>2.4471694838759994E-2</v>
      </c>
      <c r="M96" s="85">
        <f t="shared" si="12"/>
        <v>2.4200274662331767E-2</v>
      </c>
      <c r="N96" s="85">
        <f t="shared" si="13"/>
        <v>3.7431254170550154E-2</v>
      </c>
      <c r="O96" s="97" t="s">
        <v>66</v>
      </c>
      <c r="P96" s="103">
        <f t="shared" si="7"/>
        <v>3.3135957352710355E-2</v>
      </c>
      <c r="Q96" s="54">
        <f t="shared" si="15"/>
        <v>1.3692388956348154</v>
      </c>
      <c r="R96" s="54">
        <f t="shared" si="15"/>
        <v>0.88524838632793612</v>
      </c>
      <c r="S96" s="97" t="s">
        <v>66</v>
      </c>
    </row>
    <row r="97" spans="1:20" ht="12.75" customHeight="1">
      <c r="A97" s="96">
        <v>2019</v>
      </c>
      <c r="B97" s="105">
        <f t="shared" si="21"/>
        <v>119.8703154057488</v>
      </c>
      <c r="C97" s="105">
        <f t="shared" si="16"/>
        <v>120.14454513913633</v>
      </c>
      <c r="D97" s="105">
        <f t="shared" si="17"/>
        <v>122.84182421464449</v>
      </c>
      <c r="E97" s="105">
        <f t="shared" si="17"/>
        <v>124.61450192745667</v>
      </c>
      <c r="F97" s="21">
        <f t="shared" si="18"/>
        <v>266.22930196595445</v>
      </c>
      <c r="G97" s="21">
        <f t="shared" si="19"/>
        <v>315.86659366240946</v>
      </c>
      <c r="H97" s="21">
        <f t="shared" si="19"/>
        <v>525.38712038056519</v>
      </c>
      <c r="I97" s="97" t="s">
        <v>65</v>
      </c>
      <c r="J97" s="100">
        <f t="shared" si="20"/>
        <v>151.29709179257395</v>
      </c>
      <c r="K97" s="99">
        <f t="shared" si="14"/>
        <v>2.2318085948867861E-2</v>
      </c>
      <c r="L97" s="99">
        <f t="shared" si="11"/>
        <v>2.5392970311534757E-2</v>
      </c>
      <c r="M97" s="85">
        <f t="shared" si="12"/>
        <v>2.4359562270586776E-2</v>
      </c>
      <c r="N97" s="85">
        <f t="shared" si="13"/>
        <v>3.8364183771213867E-2</v>
      </c>
      <c r="O97" s="97" t="s">
        <v>66</v>
      </c>
      <c r="P97" s="103">
        <f t="shared" si="7"/>
        <v>3.3820085874431971E-2</v>
      </c>
      <c r="Q97" s="54">
        <f t="shared" si="15"/>
        <v>1.3883700166184187</v>
      </c>
      <c r="R97" s="54">
        <f t="shared" si="15"/>
        <v>0.8815536406591945</v>
      </c>
      <c r="S97" s="97" t="s">
        <v>66</v>
      </c>
    </row>
    <row r="98" spans="1:20" ht="12.75" customHeight="1">
      <c r="A98" s="96">
        <v>2020</v>
      </c>
      <c r="B98" s="105">
        <f t="shared" si="21"/>
        <v>122.51329180213952</v>
      </c>
      <c r="C98" s="105">
        <f t="shared" si="16"/>
        <v>122.58018146565072</v>
      </c>
      <c r="D98" s="105">
        <f t="shared" si="17"/>
        <v>125.78460224194319</v>
      </c>
      <c r="E98" s="105">
        <f t="shared" si="17"/>
        <v>127.66536429332639</v>
      </c>
      <c r="F98" s="21">
        <f t="shared" si="18"/>
        <v>273.01690987035323</v>
      </c>
      <c r="G98" s="21">
        <f t="shared" si="19"/>
        <v>324.09452633928981</v>
      </c>
      <c r="H98" s="21">
        <f t="shared" si="19"/>
        <v>545.59763516081591</v>
      </c>
      <c r="I98" s="97" t="s">
        <v>65</v>
      </c>
      <c r="J98" s="106">
        <f>TREND(J90:J97,A90:A97,A98)</f>
        <v>154.8892007935865</v>
      </c>
      <c r="K98" s="99">
        <f>B98/B97-1</f>
        <v>2.204863136836277E-2</v>
      </c>
      <c r="L98" s="99">
        <f t="shared" si="11"/>
        <v>2.5495345006263825E-2</v>
      </c>
      <c r="M98" s="85">
        <f>E98/E97-1</f>
        <v>2.448240227807319E-2</v>
      </c>
      <c r="N98" s="85">
        <f>H98/H97-1</f>
        <v>3.8467853505071092E-2</v>
      </c>
      <c r="O98" s="97" t="s">
        <v>66</v>
      </c>
      <c r="P98" s="103">
        <f t="shared" si="7"/>
        <v>2.3742088882562795E-2</v>
      </c>
      <c r="Q98" s="54">
        <f>($J98/$J97-1)/M98</f>
        <v>0.9697614071077727</v>
      </c>
      <c r="R98" s="54">
        <f>($J98/$J97-1)/N98</f>
        <v>0.6171929733337721</v>
      </c>
      <c r="S98" s="97" t="s">
        <v>66</v>
      </c>
    </row>
    <row r="99" spans="1:20" ht="12.75" customHeight="1">
      <c r="A99" s="96">
        <v>2021</v>
      </c>
      <c r="B99" s="105">
        <f t="shared" si="21"/>
        <v>125.27029797733637</v>
      </c>
      <c r="C99" s="105">
        <f t="shared" si="16"/>
        <v>125.07615987580019</v>
      </c>
      <c r="D99" s="105">
        <f t="shared" si="17"/>
        <v>128.80916976317945</v>
      </c>
      <c r="E99" s="105">
        <f t="shared" si="17"/>
        <v>130.80238664552778</v>
      </c>
      <c r="F99" s="21">
        <f t="shared" si="18"/>
        <v>280.02001207564462</v>
      </c>
      <c r="G99" s="21">
        <f t="shared" si="19"/>
        <v>332.58719581416625</v>
      </c>
      <c r="H99" s="21">
        <f t="shared" si="19"/>
        <v>566.67149396851244</v>
      </c>
      <c r="I99" s="97" t="s">
        <v>65</v>
      </c>
      <c r="J99" s="107">
        <f>TREND(J91:J98,A91:A98,A99)</f>
        <v>159.49337166193618</v>
      </c>
      <c r="K99" s="108">
        <f>B99/B98-1</f>
        <v>2.2503731102494928E-2</v>
      </c>
      <c r="L99" s="108">
        <f t="shared" si="11"/>
        <v>2.5650800196284296E-2</v>
      </c>
      <c r="M99" s="109">
        <f>E99/E98-1</f>
        <v>2.4572227319178852E-2</v>
      </c>
      <c r="N99" s="109">
        <f>H99/H98-1</f>
        <v>3.8625275202091025E-2</v>
      </c>
      <c r="O99" s="110" t="s">
        <v>66</v>
      </c>
      <c r="P99" s="111">
        <f t="shared" si="7"/>
        <v>2.9725577023832939E-2</v>
      </c>
      <c r="Q99" s="54">
        <f>($J99/$J98-1)/M99</f>
        <v>1.209722530958024</v>
      </c>
      <c r="R99" s="54">
        <f>($J99/$J98-1)/N99</f>
        <v>0.76958874385505249</v>
      </c>
      <c r="S99" s="97" t="s">
        <v>66</v>
      </c>
    </row>
    <row r="100" spans="1:20">
      <c r="A100" s="26" t="s">
        <v>23</v>
      </c>
      <c r="B100" s="27" t="s">
        <v>24</v>
      </c>
      <c r="C100" s="27" t="s">
        <v>25</v>
      </c>
      <c r="D100" s="27" t="s">
        <v>26</v>
      </c>
      <c r="E100" s="27" t="s">
        <v>27</v>
      </c>
      <c r="F100" s="27" t="s">
        <v>28</v>
      </c>
      <c r="G100" s="27" t="s">
        <v>29</v>
      </c>
      <c r="H100" s="27" t="s">
        <v>30</v>
      </c>
      <c r="I100" s="27" t="s">
        <v>31</v>
      </c>
      <c r="J100" s="63" t="s">
        <v>32</v>
      </c>
      <c r="K100" s="9" t="s">
        <v>33</v>
      </c>
      <c r="L100" s="95"/>
      <c r="M100" s="95"/>
      <c r="N100" s="95"/>
      <c r="O100" s="95"/>
      <c r="P100" s="10"/>
      <c r="Q100" s="28" t="s">
        <v>34</v>
      </c>
      <c r="R100" s="30"/>
      <c r="S100" s="30"/>
    </row>
    <row r="101" spans="1:20" ht="15.75" customHeight="1">
      <c r="A101" s="31" t="s">
        <v>36</v>
      </c>
      <c r="B101" s="32">
        <v>41496</v>
      </c>
      <c r="C101" s="32"/>
      <c r="D101" s="32"/>
      <c r="E101" s="32"/>
      <c r="F101" s="32"/>
      <c r="G101" s="31"/>
      <c r="H101" s="31"/>
      <c r="I101" s="31"/>
      <c r="J101" s="31"/>
      <c r="K101" s="31"/>
      <c r="L101" s="31"/>
      <c r="M101" s="31"/>
      <c r="N101" s="31"/>
      <c r="O101" s="31"/>
      <c r="P101" s="31"/>
      <c r="Q101" s="31"/>
      <c r="R101" s="31"/>
      <c r="S101" s="31"/>
    </row>
    <row r="102" spans="1:20" ht="15.75" customHeight="1">
      <c r="A102" s="33" t="s">
        <v>37</v>
      </c>
      <c r="B102" s="34" t="s">
        <v>38</v>
      </c>
      <c r="C102" s="34"/>
      <c r="D102" s="34"/>
      <c r="E102" s="34"/>
      <c r="F102" s="34"/>
      <c r="G102" s="34"/>
      <c r="H102" s="34"/>
      <c r="I102" s="34"/>
      <c r="J102" s="34"/>
      <c r="K102" s="34"/>
      <c r="L102" s="34"/>
      <c r="M102" s="34"/>
      <c r="N102" s="34"/>
      <c r="O102" s="34"/>
      <c r="P102" s="34"/>
      <c r="Q102" s="34"/>
      <c r="R102" s="34"/>
      <c r="S102" s="112"/>
    </row>
    <row r="103" spans="1:20" s="38" customFormat="1" ht="18" customHeight="1">
      <c r="A103" s="35" t="s">
        <v>39</v>
      </c>
      <c r="B103" s="36"/>
      <c r="C103" s="36"/>
      <c r="D103" s="36"/>
      <c r="E103" s="36"/>
      <c r="F103" s="36"/>
      <c r="G103" s="36"/>
      <c r="H103" s="36"/>
      <c r="I103" s="36"/>
      <c r="J103" s="36"/>
      <c r="K103" s="36"/>
      <c r="L103" s="36"/>
      <c r="M103" s="37"/>
      <c r="N103" s="37"/>
      <c r="O103" s="37"/>
      <c r="P103" s="37"/>
      <c r="Q103" s="37"/>
      <c r="R103" s="37"/>
      <c r="S103" s="37"/>
      <c r="T103" s="113"/>
    </row>
    <row r="104" spans="1:20" s="57" customFormat="1" ht="18" customHeight="1">
      <c r="A104" s="39" t="str">
        <f>B100</f>
        <v>[A]</v>
      </c>
      <c r="B104" s="40" t="s">
        <v>160</v>
      </c>
      <c r="C104" s="40"/>
      <c r="D104" s="40"/>
      <c r="E104" s="40"/>
      <c r="F104" s="40"/>
      <c r="G104" s="40"/>
      <c r="H104" s="40"/>
      <c r="I104" s="40"/>
      <c r="J104" s="40"/>
      <c r="K104" s="40"/>
      <c r="L104" s="40"/>
      <c r="M104" s="40"/>
      <c r="N104" s="40"/>
      <c r="O104" s="40"/>
      <c r="P104" s="40"/>
      <c r="Q104" s="40"/>
      <c r="R104" s="40"/>
      <c r="S104" s="40"/>
    </row>
    <row r="105" spans="1:20" s="57" customFormat="1" ht="25.5" customHeight="1">
      <c r="A105" s="39" t="str">
        <f>C100</f>
        <v>[B]</v>
      </c>
      <c r="B105" s="40" t="s">
        <v>161</v>
      </c>
      <c r="C105" s="40"/>
      <c r="D105" s="40"/>
      <c r="E105" s="40"/>
      <c r="F105" s="40"/>
      <c r="G105" s="40"/>
      <c r="H105" s="40"/>
      <c r="I105" s="40"/>
      <c r="J105" s="40"/>
      <c r="K105" s="40"/>
      <c r="L105" s="40"/>
      <c r="M105" s="40"/>
      <c r="N105" s="40"/>
      <c r="O105" s="40"/>
      <c r="P105" s="40"/>
      <c r="Q105" s="40"/>
      <c r="R105" s="40"/>
      <c r="S105" s="40"/>
    </row>
    <row r="106" spans="1:20" s="57" customFormat="1" ht="27" customHeight="1">
      <c r="A106" s="39" t="str">
        <f>D100</f>
        <v>[C]</v>
      </c>
      <c r="B106" s="40" t="s">
        <v>162</v>
      </c>
      <c r="C106" s="40"/>
      <c r="D106" s="40"/>
      <c r="E106" s="40"/>
      <c r="F106" s="40"/>
      <c r="G106" s="40"/>
      <c r="H106" s="40"/>
      <c r="I106" s="40"/>
      <c r="J106" s="40"/>
      <c r="K106" s="40"/>
      <c r="L106" s="40"/>
      <c r="M106" s="40"/>
      <c r="N106" s="40"/>
      <c r="O106" s="40"/>
      <c r="P106" s="40"/>
      <c r="Q106" s="40"/>
      <c r="R106" s="40"/>
      <c r="S106" s="40"/>
    </row>
    <row r="107" spans="1:20" s="57" customFormat="1" ht="84.75" customHeight="1">
      <c r="A107" s="39" t="str">
        <f>E100</f>
        <v>[D]</v>
      </c>
      <c r="B107" s="40" t="s">
        <v>163</v>
      </c>
      <c r="C107" s="40"/>
      <c r="D107" s="40"/>
      <c r="E107" s="40"/>
      <c r="F107" s="40"/>
      <c r="G107" s="40"/>
      <c r="H107" s="40"/>
      <c r="I107" s="40"/>
      <c r="J107" s="40"/>
      <c r="K107" s="40"/>
      <c r="L107" s="40"/>
      <c r="M107" s="40"/>
      <c r="N107" s="40"/>
      <c r="O107" s="40"/>
      <c r="P107" s="40"/>
      <c r="Q107" s="40"/>
      <c r="R107" s="40"/>
      <c r="S107" s="40"/>
    </row>
    <row r="108" spans="1:20" s="57" customFormat="1" ht="24.75" customHeight="1">
      <c r="A108" s="39" t="str">
        <f>F100</f>
        <v>[E]</v>
      </c>
      <c r="B108" s="40" t="s">
        <v>164</v>
      </c>
      <c r="C108" s="40"/>
      <c r="D108" s="40"/>
      <c r="E108" s="40"/>
      <c r="F108" s="40"/>
      <c r="G108" s="40"/>
      <c r="H108" s="40"/>
      <c r="I108" s="40"/>
      <c r="J108" s="40"/>
      <c r="K108" s="40"/>
      <c r="L108" s="40"/>
      <c r="M108" s="40"/>
      <c r="N108" s="40"/>
      <c r="O108" s="40"/>
      <c r="P108" s="40"/>
      <c r="Q108" s="40"/>
      <c r="R108" s="40"/>
      <c r="S108" s="40"/>
    </row>
    <row r="109" spans="1:20" s="57" customFormat="1" ht="36" customHeight="1">
      <c r="A109" s="39" t="str">
        <f>G100</f>
        <v>[F]</v>
      </c>
      <c r="B109" s="40" t="s">
        <v>165</v>
      </c>
      <c r="C109" s="40"/>
      <c r="D109" s="40"/>
      <c r="E109" s="40"/>
      <c r="F109" s="40"/>
      <c r="G109" s="40"/>
      <c r="H109" s="40"/>
      <c r="I109" s="40"/>
      <c r="J109" s="40"/>
      <c r="K109" s="40"/>
      <c r="L109" s="40"/>
      <c r="M109" s="40"/>
      <c r="N109" s="40"/>
      <c r="O109" s="40"/>
      <c r="P109" s="40"/>
      <c r="Q109" s="40"/>
      <c r="R109" s="40"/>
      <c r="S109" s="40"/>
    </row>
    <row r="110" spans="1:20" s="57" customFormat="1" ht="36" customHeight="1">
      <c r="A110" s="39" t="str">
        <f>H100</f>
        <v>[G]</v>
      </c>
      <c r="B110" s="40" t="s">
        <v>166</v>
      </c>
      <c r="C110" s="40"/>
      <c r="D110" s="40"/>
      <c r="E110" s="40"/>
      <c r="F110" s="40"/>
      <c r="G110" s="40"/>
      <c r="H110" s="40"/>
      <c r="I110" s="40"/>
      <c r="J110" s="40"/>
      <c r="K110" s="40"/>
      <c r="L110" s="40"/>
      <c r="M110" s="40"/>
      <c r="N110" s="40"/>
      <c r="O110" s="40"/>
      <c r="P110" s="40"/>
      <c r="Q110" s="40"/>
      <c r="R110" s="40"/>
      <c r="S110" s="40"/>
    </row>
    <row r="111" spans="1:20" s="57" customFormat="1" ht="48" customHeight="1">
      <c r="A111" s="39" t="str">
        <f>I100</f>
        <v>[H]</v>
      </c>
      <c r="B111" s="40" t="s">
        <v>167</v>
      </c>
      <c r="C111" s="40"/>
      <c r="D111" s="40"/>
      <c r="E111" s="40"/>
      <c r="F111" s="40"/>
      <c r="G111" s="40"/>
      <c r="H111" s="40"/>
      <c r="I111" s="40"/>
      <c r="J111" s="40"/>
      <c r="K111" s="40"/>
      <c r="L111" s="40"/>
      <c r="M111" s="40"/>
      <c r="N111" s="40"/>
      <c r="O111" s="40"/>
      <c r="P111" s="40"/>
      <c r="Q111" s="40"/>
      <c r="R111" s="40"/>
      <c r="S111" s="40"/>
    </row>
    <row r="112" spans="1:20" s="57" customFormat="1" ht="49.5" customHeight="1">
      <c r="A112" s="39" t="str">
        <f>J100</f>
        <v>[I]</v>
      </c>
      <c r="B112" s="40" t="s">
        <v>168</v>
      </c>
      <c r="C112" s="40"/>
      <c r="D112" s="40"/>
      <c r="E112" s="40"/>
      <c r="F112" s="40"/>
      <c r="G112" s="40"/>
      <c r="H112" s="40"/>
      <c r="I112" s="40"/>
      <c r="J112" s="40"/>
      <c r="K112" s="40"/>
      <c r="L112" s="40"/>
      <c r="M112" s="40"/>
      <c r="N112" s="40"/>
      <c r="O112" s="40"/>
      <c r="P112" s="40"/>
      <c r="Q112" s="40"/>
      <c r="R112" s="40"/>
      <c r="S112" s="40"/>
    </row>
    <row r="113" spans="1:20" s="57" customFormat="1" ht="18" customHeight="1">
      <c r="A113" s="39" t="str">
        <f>K100</f>
        <v>[J]</v>
      </c>
      <c r="B113" s="40" t="s">
        <v>169</v>
      </c>
      <c r="C113" s="40"/>
      <c r="D113" s="40"/>
      <c r="E113" s="40"/>
      <c r="F113" s="40"/>
      <c r="G113" s="40"/>
      <c r="H113" s="40"/>
      <c r="I113" s="40"/>
      <c r="J113" s="40"/>
      <c r="K113" s="40"/>
      <c r="L113" s="40"/>
      <c r="M113" s="40"/>
      <c r="N113" s="40"/>
      <c r="O113" s="40"/>
      <c r="P113" s="40"/>
      <c r="Q113" s="40"/>
      <c r="R113" s="40"/>
      <c r="S113" s="40"/>
    </row>
    <row r="114" spans="1:20" s="57" customFormat="1" ht="18" customHeight="1">
      <c r="A114" s="78" t="str">
        <f>Q100</f>
        <v>[K]</v>
      </c>
      <c r="B114" s="114" t="s">
        <v>170</v>
      </c>
      <c r="C114" s="114"/>
      <c r="D114" s="114"/>
      <c r="E114" s="114"/>
      <c r="F114" s="114"/>
      <c r="G114" s="114"/>
      <c r="H114" s="114"/>
      <c r="I114" s="114"/>
      <c r="J114" s="114"/>
      <c r="K114" s="114"/>
      <c r="L114" s="114"/>
      <c r="M114" s="114"/>
      <c r="N114" s="114"/>
      <c r="O114" s="114"/>
      <c r="P114" s="114"/>
      <c r="Q114" s="114"/>
      <c r="R114" s="114"/>
      <c r="S114" s="114"/>
    </row>
    <row r="115" spans="1:20" s="38" customFormat="1" ht="19.5" customHeight="1">
      <c r="A115" s="115" t="s">
        <v>52</v>
      </c>
      <c r="B115" s="115"/>
      <c r="C115" s="115"/>
      <c r="D115" s="115"/>
      <c r="E115" s="115"/>
      <c r="F115" s="115"/>
      <c r="G115" s="115"/>
      <c r="H115" s="62"/>
      <c r="I115" s="62"/>
      <c r="J115" s="62"/>
      <c r="K115" s="62"/>
      <c r="L115" s="62"/>
      <c r="M115" s="93"/>
      <c r="N115" s="113"/>
      <c r="O115" s="113"/>
      <c r="P115" s="113"/>
      <c r="Q115" s="113"/>
      <c r="R115" s="113"/>
      <c r="S115" s="113"/>
      <c r="T115" s="113"/>
    </row>
    <row r="116" spans="1:20" s="38" customFormat="1" ht="19.5" customHeight="1">
      <c r="A116" s="35" t="s">
        <v>53</v>
      </c>
      <c r="B116" s="43" t="s">
        <v>171</v>
      </c>
      <c r="C116" s="43"/>
      <c r="D116" s="43"/>
      <c r="E116" s="43"/>
      <c r="F116" s="43"/>
      <c r="G116" s="43"/>
      <c r="H116" s="43"/>
      <c r="I116" s="67"/>
      <c r="J116" s="67"/>
      <c r="K116" s="45"/>
      <c r="L116" s="45"/>
      <c r="M116" s="45"/>
      <c r="N116" s="45"/>
      <c r="O116" s="45"/>
      <c r="P116" s="45"/>
      <c r="Q116" s="45"/>
      <c r="R116" s="45"/>
      <c r="S116" s="45"/>
      <c r="T116" s="113"/>
    </row>
    <row r="117" spans="1:20" s="49" customFormat="1" ht="15" customHeight="1">
      <c r="A117" s="12"/>
      <c r="B117" s="79" t="s">
        <v>94</v>
      </c>
      <c r="C117" s="116" t="s">
        <v>172</v>
      </c>
      <c r="D117" s="28" t="s">
        <v>173</v>
      </c>
      <c r="E117" s="30"/>
      <c r="F117" s="30"/>
      <c r="G117" s="14" t="s">
        <v>174</v>
      </c>
      <c r="H117" s="15" t="s">
        <v>175</v>
      </c>
      <c r="I117" s="48"/>
      <c r="J117" s="48"/>
      <c r="K117" s="48"/>
      <c r="L117" s="48"/>
      <c r="M117" s="48"/>
      <c r="Q117" s="48"/>
      <c r="R117" s="48"/>
      <c r="S117" s="48"/>
      <c r="T117" s="48"/>
    </row>
    <row r="118" spans="1:20" s="49" customFormat="1" ht="33.75">
      <c r="A118" s="12"/>
      <c r="B118" s="50"/>
      <c r="C118" s="95"/>
      <c r="D118" s="81" t="s">
        <v>176</v>
      </c>
      <c r="E118" s="81" t="s">
        <v>177</v>
      </c>
      <c r="F118" s="81" t="s">
        <v>178</v>
      </c>
      <c r="G118" s="117"/>
      <c r="H118" s="17"/>
      <c r="I118" s="48"/>
      <c r="J118" s="48"/>
      <c r="K118" s="48"/>
      <c r="L118" s="48"/>
      <c r="M118" s="48"/>
      <c r="Q118" s="48"/>
      <c r="R118" s="48"/>
      <c r="S118" s="48"/>
      <c r="T118" s="48"/>
    </row>
    <row r="119" spans="1:20" s="57" customFormat="1" ht="12.75" customHeight="1">
      <c r="A119" s="12"/>
      <c r="B119" s="58">
        <v>2011</v>
      </c>
      <c r="C119" s="61">
        <v>113.78975</v>
      </c>
      <c r="D119" s="22">
        <v>220.7</v>
      </c>
      <c r="E119" s="22">
        <v>224.93664999999999</v>
      </c>
      <c r="F119" s="22">
        <v>224.93899999999999</v>
      </c>
      <c r="G119" s="118" t="s">
        <v>66</v>
      </c>
      <c r="H119" s="22">
        <f>F119</f>
        <v>224.93899999999999</v>
      </c>
      <c r="I119" s="119"/>
      <c r="J119" s="119"/>
      <c r="K119"/>
      <c r="L119"/>
      <c r="M119"/>
    </row>
    <row r="120" spans="1:20" s="57" customFormat="1" ht="12.75" customHeight="1">
      <c r="A120" s="12"/>
      <c r="B120" s="58">
        <v>2012</v>
      </c>
      <c r="C120" s="61">
        <v>115.77315</v>
      </c>
      <c r="D120" s="22">
        <v>224.40000000000003</v>
      </c>
      <c r="E120" s="22">
        <v>229.60655000000003</v>
      </c>
      <c r="F120" s="22">
        <v>229.59399999999999</v>
      </c>
      <c r="G120" s="61">
        <f t="shared" ref="G120:G129" si="22">(E120/E119)/(D120/D119)</f>
        <v>1.0039302276905326</v>
      </c>
      <c r="H120" s="22">
        <f>F120</f>
        <v>229.59399999999999</v>
      </c>
      <c r="I120"/>
      <c r="J120"/>
      <c r="K120"/>
      <c r="L120"/>
      <c r="M120"/>
    </row>
    <row r="121" spans="1:20" s="57" customFormat="1" ht="12.75" customHeight="1">
      <c r="A121" s="12"/>
      <c r="B121" s="58">
        <v>2013</v>
      </c>
      <c r="C121" s="61">
        <v>117.2253</v>
      </c>
      <c r="D121" s="22">
        <v>228.7</v>
      </c>
      <c r="E121" s="22">
        <v>233.18627499999999</v>
      </c>
      <c r="F121" s="120" t="s">
        <v>65</v>
      </c>
      <c r="G121" s="61">
        <f t="shared" si="22"/>
        <v>0.99649563306785305</v>
      </c>
      <c r="H121" s="21">
        <f t="shared" ref="H121:H129" si="23">H120*AVERAGE(D121/D120,E121/E120)</f>
        <v>233.58352892865727</v>
      </c>
      <c r="I121"/>
      <c r="J121"/>
      <c r="K121"/>
      <c r="L121"/>
      <c r="M121"/>
    </row>
    <row r="122" spans="1:20" s="57" customFormat="1" ht="12.75" customHeight="1">
      <c r="A122" s="12"/>
      <c r="B122" s="58">
        <v>2014</v>
      </c>
      <c r="C122" s="61">
        <v>119.1763</v>
      </c>
      <c r="D122" s="22">
        <v>233.3</v>
      </c>
      <c r="E122" s="22">
        <v>237.54239999999999</v>
      </c>
      <c r="F122" s="120" t="s">
        <v>65</v>
      </c>
      <c r="G122" s="61">
        <f t="shared" si="22"/>
        <v>0.99859544548492363</v>
      </c>
      <c r="H122" s="21">
        <f t="shared" si="23"/>
        <v>238.11441483914263</v>
      </c>
      <c r="I122"/>
      <c r="J122"/>
      <c r="K122"/>
      <c r="L122"/>
      <c r="M122"/>
    </row>
    <row r="123" spans="1:20" s="57" customFormat="1" ht="12.75" customHeight="1">
      <c r="A123" s="12"/>
      <c r="B123" s="58">
        <v>2015</v>
      </c>
      <c r="C123" s="61">
        <v>121.41375000000001</v>
      </c>
      <c r="D123" s="22">
        <v>237.9</v>
      </c>
      <c r="E123" s="22">
        <v>242.50229999999999</v>
      </c>
      <c r="F123" s="120" t="s">
        <v>65</v>
      </c>
      <c r="G123" s="61">
        <f t="shared" si="22"/>
        <v>1.0011404725753634</v>
      </c>
      <c r="H123" s="21">
        <f t="shared" si="23"/>
        <v>242.94779984704175</v>
      </c>
      <c r="I123"/>
      <c r="J123"/>
      <c r="K123"/>
      <c r="L123"/>
      <c r="M123"/>
    </row>
    <row r="124" spans="1:20" s="57" customFormat="1" ht="12.75" customHeight="1">
      <c r="A124" s="12"/>
      <c r="B124" s="58">
        <v>2016</v>
      </c>
      <c r="C124" s="61">
        <v>123.69874999999999</v>
      </c>
      <c r="D124" s="22">
        <v>242.70000000000002</v>
      </c>
      <c r="E124" s="22">
        <v>247.6703</v>
      </c>
      <c r="F124" s="120" t="s">
        <v>65</v>
      </c>
      <c r="G124" s="61">
        <f t="shared" si="22"/>
        <v>1.0011121538904604</v>
      </c>
      <c r="H124" s="21">
        <f t="shared" si="23"/>
        <v>247.9874704812128</v>
      </c>
      <c r="I124"/>
      <c r="J124"/>
      <c r="K124"/>
      <c r="L124"/>
      <c r="M124"/>
    </row>
    <row r="125" spans="1:20" s="57" customFormat="1" ht="12.75" customHeight="1">
      <c r="A125" s="12"/>
      <c r="B125" s="58">
        <v>2017</v>
      </c>
      <c r="C125" s="61">
        <v>126.09807499999999</v>
      </c>
      <c r="D125" s="22">
        <v>248</v>
      </c>
      <c r="E125" s="22">
        <v>253.14167499999999</v>
      </c>
      <c r="F125" s="120" t="s">
        <v>65</v>
      </c>
      <c r="G125" s="61">
        <f t="shared" si="22"/>
        <v>1.0002482834212882</v>
      </c>
      <c r="H125" s="21">
        <f t="shared" si="23"/>
        <v>253.43439433606977</v>
      </c>
      <c r="I125"/>
      <c r="J125"/>
      <c r="K125"/>
      <c r="L125"/>
      <c r="M125"/>
    </row>
    <row r="126" spans="1:20" s="57" customFormat="1" ht="12.75" customHeight="1">
      <c r="A126" s="12"/>
      <c r="B126" s="58">
        <v>2018</v>
      </c>
      <c r="C126" s="61">
        <v>128.61897500000001</v>
      </c>
      <c r="D126" s="22">
        <v>254.5</v>
      </c>
      <c r="E126" s="22">
        <v>258.896525</v>
      </c>
      <c r="F126" s="120" t="s">
        <v>65</v>
      </c>
      <c r="G126" s="61">
        <f t="shared" si="22"/>
        <v>0.99661281194508844</v>
      </c>
      <c r="H126" s="21">
        <f t="shared" si="23"/>
        <v>259.63636349590803</v>
      </c>
      <c r="I126"/>
      <c r="J126"/>
      <c r="K126"/>
      <c r="L126"/>
      <c r="M126"/>
    </row>
    <row r="127" spans="1:20" s="57" customFormat="1" ht="12.75" customHeight="1">
      <c r="A127" s="62"/>
      <c r="B127" s="58">
        <v>2019</v>
      </c>
      <c r="C127" s="61">
        <v>131.21067500000001</v>
      </c>
      <c r="D127" s="22">
        <v>261.60000000000002</v>
      </c>
      <c r="E127" s="22">
        <v>264.82217500000002</v>
      </c>
      <c r="F127" s="120" t="s">
        <v>65</v>
      </c>
      <c r="G127" s="61">
        <f t="shared" si="22"/>
        <v>0.99512623046089876</v>
      </c>
      <c r="H127" s="21">
        <f t="shared" si="23"/>
        <v>266.22930196595445</v>
      </c>
      <c r="I127"/>
      <c r="J127"/>
      <c r="K127"/>
      <c r="L127"/>
      <c r="M127"/>
    </row>
    <row r="128" spans="1:20" s="57" customFormat="1" ht="12.75" customHeight="1">
      <c r="A128" s="62"/>
      <c r="B128" s="58">
        <v>2020</v>
      </c>
      <c r="C128" s="61">
        <v>133.87065000000001</v>
      </c>
      <c r="D128" s="22">
        <v>268.89999999999998</v>
      </c>
      <c r="E128" s="22">
        <v>270.93572499999999</v>
      </c>
      <c r="F128" s="120" t="s">
        <v>65</v>
      </c>
      <c r="G128" s="61">
        <f t="shared" si="22"/>
        <v>0.99531113613714162</v>
      </c>
      <c r="H128" s="21">
        <f t="shared" si="23"/>
        <v>273.01690987035323</v>
      </c>
      <c r="I128"/>
      <c r="J128"/>
      <c r="K128" s="121"/>
      <c r="L128" s="121"/>
      <c r="M128" s="121"/>
    </row>
    <row r="129" spans="1:20" s="57" customFormat="1" ht="12.75" customHeight="1">
      <c r="A129" s="62"/>
      <c r="B129" s="58">
        <v>2021</v>
      </c>
      <c r="C129" s="61">
        <v>136.59652499999999</v>
      </c>
      <c r="D129" s="22">
        <v>276.5</v>
      </c>
      <c r="E129" s="22">
        <v>277.17762499999998</v>
      </c>
      <c r="F129" s="120" t="s">
        <v>65</v>
      </c>
      <c r="G129" s="61">
        <f t="shared" si="22"/>
        <v>0.99491862692789013</v>
      </c>
      <c r="H129" s="21">
        <f t="shared" si="23"/>
        <v>280.02001207564462</v>
      </c>
      <c r="I129"/>
      <c r="J129"/>
      <c r="K129" s="121"/>
      <c r="L129" s="121"/>
      <c r="M129" s="121"/>
    </row>
    <row r="130" spans="1:20" s="57" customFormat="1" ht="12.75" customHeight="1">
      <c r="A130" s="62"/>
      <c r="B130" s="58">
        <v>2022</v>
      </c>
      <c r="C130" s="61">
        <v>139.38069999999999</v>
      </c>
      <c r="D130" s="122" t="s">
        <v>65</v>
      </c>
      <c r="E130" s="22">
        <v>283.52712499999996</v>
      </c>
      <c r="F130" s="120" t="s">
        <v>65</v>
      </c>
      <c r="G130" s="118" t="s">
        <v>66</v>
      </c>
      <c r="H130" s="21">
        <f>H129*E130/E129</f>
        <v>286.43462460677625</v>
      </c>
      <c r="I130"/>
      <c r="J130"/>
      <c r="K130" s="121"/>
      <c r="L130" s="121"/>
      <c r="M130" s="121"/>
    </row>
    <row r="131" spans="1:20" s="57" customFormat="1" ht="12.75" customHeight="1">
      <c r="A131" s="62"/>
      <c r="B131" s="58">
        <v>2023</v>
      </c>
      <c r="C131" s="61">
        <v>142.22842499999999</v>
      </c>
      <c r="D131" s="122" t="s">
        <v>65</v>
      </c>
      <c r="E131" s="22">
        <v>290.00007499999998</v>
      </c>
      <c r="F131" s="120" t="s">
        <v>65</v>
      </c>
      <c r="G131" s="118" t="s">
        <v>66</v>
      </c>
      <c r="H131" s="21">
        <f>H130*E131/E130</f>
        <v>292.97395308671776</v>
      </c>
      <c r="I131"/>
      <c r="J131"/>
      <c r="K131" s="121"/>
      <c r="L131" s="121"/>
      <c r="M131" s="121"/>
    </row>
    <row r="132" spans="1:20" s="57" customFormat="1" ht="14.25">
      <c r="B132" s="123" t="s">
        <v>23</v>
      </c>
      <c r="C132" s="27" t="s">
        <v>67</v>
      </c>
      <c r="D132" s="27" t="s">
        <v>68</v>
      </c>
      <c r="E132" s="27" t="s">
        <v>69</v>
      </c>
      <c r="F132" s="27" t="s">
        <v>70</v>
      </c>
      <c r="G132" s="27" t="s">
        <v>71</v>
      </c>
      <c r="H132" s="27" t="s">
        <v>72</v>
      </c>
      <c r="I132" s="62"/>
    </row>
    <row r="133" spans="1:20" s="89" customFormat="1" ht="24.75" customHeight="1">
      <c r="B133" s="39" t="str">
        <f>C132</f>
        <v>[P1a]</v>
      </c>
      <c r="C133" s="88" t="s">
        <v>179</v>
      </c>
      <c r="D133" s="88"/>
      <c r="E133" s="88"/>
      <c r="F133" s="88"/>
      <c r="G133" s="88"/>
      <c r="H133" s="88"/>
      <c r="I133" s="88"/>
      <c r="J133" s="88"/>
      <c r="K133" s="88"/>
      <c r="L133" s="88"/>
      <c r="M133" s="88"/>
      <c r="N133" s="88"/>
      <c r="O133" s="88"/>
      <c r="P133" s="88"/>
      <c r="Q133" s="88"/>
      <c r="R133" s="88"/>
      <c r="S133" s="88"/>
      <c r="T133" s="124"/>
    </row>
    <row r="134" spans="1:20" s="89" customFormat="1" ht="18" customHeight="1">
      <c r="B134" s="39" t="str">
        <f>D132</f>
        <v>[P1b]</v>
      </c>
      <c r="C134" s="88" t="s">
        <v>180</v>
      </c>
      <c r="D134" s="88"/>
      <c r="E134" s="88"/>
      <c r="F134" s="88"/>
      <c r="G134" s="88"/>
      <c r="H134" s="88"/>
      <c r="I134" s="88"/>
      <c r="J134" s="88"/>
      <c r="K134" s="88"/>
      <c r="L134" s="88"/>
      <c r="M134" s="88"/>
      <c r="N134" s="88"/>
      <c r="O134" s="88"/>
      <c r="P134" s="88"/>
      <c r="Q134" s="88"/>
      <c r="R134" s="88"/>
      <c r="S134" s="88"/>
      <c r="T134" s="124"/>
    </row>
    <row r="135" spans="1:20" s="89" customFormat="1" ht="18" customHeight="1">
      <c r="B135" s="39" t="str">
        <f>E132</f>
        <v>[P1c]</v>
      </c>
      <c r="C135" s="88" t="s">
        <v>181</v>
      </c>
      <c r="D135" s="88"/>
      <c r="E135" s="88"/>
      <c r="F135" s="88"/>
      <c r="G135" s="88"/>
      <c r="H135" s="88"/>
      <c r="I135" s="88"/>
      <c r="J135" s="88"/>
      <c r="K135" s="88"/>
      <c r="L135" s="88"/>
      <c r="M135" s="88"/>
      <c r="N135" s="88"/>
      <c r="O135" s="88"/>
      <c r="P135" s="88"/>
      <c r="Q135" s="88"/>
      <c r="R135" s="88"/>
      <c r="S135" s="88"/>
      <c r="T135" s="124"/>
    </row>
    <row r="136" spans="1:20" s="89" customFormat="1" ht="18" customHeight="1">
      <c r="B136" s="39" t="str">
        <f>F132</f>
        <v>[P1d]</v>
      </c>
      <c r="C136" s="88" t="s">
        <v>182</v>
      </c>
      <c r="D136" s="88"/>
      <c r="E136" s="88"/>
      <c r="F136" s="88"/>
      <c r="G136" s="88"/>
      <c r="H136" s="88"/>
      <c r="I136" s="88"/>
      <c r="J136" s="88"/>
      <c r="K136" s="88"/>
      <c r="L136" s="88"/>
      <c r="M136" s="88"/>
      <c r="N136" s="88"/>
      <c r="O136" s="88"/>
      <c r="P136" s="88"/>
      <c r="Q136" s="88"/>
      <c r="R136" s="88"/>
      <c r="S136" s="88"/>
      <c r="T136" s="124"/>
    </row>
    <row r="137" spans="1:20" s="89" customFormat="1" ht="24.75" customHeight="1">
      <c r="B137" s="39" t="str">
        <f>G132</f>
        <v>[P1e]</v>
      </c>
      <c r="C137" s="88" t="s">
        <v>183</v>
      </c>
      <c r="D137" s="88"/>
      <c r="E137" s="88"/>
      <c r="F137" s="88"/>
      <c r="G137" s="88"/>
      <c r="H137" s="88"/>
      <c r="I137" s="88"/>
      <c r="J137" s="88"/>
      <c r="K137" s="88"/>
      <c r="L137" s="88"/>
      <c r="M137" s="88"/>
      <c r="N137" s="88"/>
      <c r="O137" s="88"/>
      <c r="P137" s="88"/>
      <c r="Q137" s="88"/>
      <c r="R137" s="88"/>
      <c r="S137" s="88"/>
      <c r="T137" s="124"/>
    </row>
    <row r="138" spans="1:20" s="89" customFormat="1" ht="36" customHeight="1">
      <c r="B138" s="39" t="str">
        <f>H132</f>
        <v>[P1f]</v>
      </c>
      <c r="C138" s="88" t="s">
        <v>184</v>
      </c>
      <c r="D138" s="88"/>
      <c r="E138" s="88"/>
      <c r="F138" s="88"/>
      <c r="G138" s="88"/>
      <c r="H138" s="88"/>
      <c r="I138" s="88"/>
      <c r="J138" s="88"/>
      <c r="K138" s="88"/>
      <c r="L138" s="88"/>
      <c r="M138" s="88"/>
      <c r="N138" s="88"/>
      <c r="O138" s="88"/>
      <c r="P138" s="88"/>
      <c r="Q138" s="88"/>
      <c r="R138" s="88"/>
      <c r="S138" s="88"/>
      <c r="T138" s="124"/>
    </row>
    <row r="139" spans="1:20" s="38" customFormat="1" ht="19.5" customHeight="1">
      <c r="A139" s="35" t="s">
        <v>79</v>
      </c>
      <c r="B139" s="43" t="s">
        <v>185</v>
      </c>
      <c r="C139" s="43"/>
      <c r="D139" s="43"/>
      <c r="E139" s="43"/>
      <c r="F139" s="43"/>
      <c r="G139" s="43"/>
      <c r="H139" s="67"/>
      <c r="I139" s="67"/>
      <c r="J139" s="67"/>
      <c r="K139" s="45"/>
      <c r="L139" s="45"/>
      <c r="M139" s="45"/>
      <c r="N139" s="45"/>
      <c r="O139" s="45"/>
      <c r="P139" s="45"/>
      <c r="Q139" s="45"/>
      <c r="R139" s="45"/>
      <c r="S139" s="45"/>
      <c r="T139" s="113"/>
    </row>
    <row r="140" spans="1:20" s="49" customFormat="1" ht="15" customHeight="1">
      <c r="A140" s="124"/>
      <c r="B140" s="79" t="s">
        <v>94</v>
      </c>
      <c r="C140" s="28" t="s">
        <v>186</v>
      </c>
      <c r="D140" s="30"/>
      <c r="E140" s="30"/>
      <c r="F140" s="9" t="s">
        <v>187</v>
      </c>
      <c r="G140" s="95"/>
      <c r="H140" s="48"/>
      <c r="J140" s="48"/>
      <c r="K140" s="48"/>
      <c r="L140" s="48"/>
      <c r="Q140" s="48"/>
      <c r="R140" s="48"/>
      <c r="S140" s="48"/>
      <c r="T140" s="48"/>
    </row>
    <row r="141" spans="1:20" s="49" customFormat="1" ht="33.75">
      <c r="A141" s="124"/>
      <c r="B141" s="50"/>
      <c r="C141" s="81" t="s">
        <v>148</v>
      </c>
      <c r="D141" s="81" t="s">
        <v>188</v>
      </c>
      <c r="E141" s="81" t="s">
        <v>189</v>
      </c>
      <c r="F141" s="63" t="s">
        <v>190</v>
      </c>
      <c r="G141" s="27" t="s">
        <v>191</v>
      </c>
      <c r="J141" s="48"/>
      <c r="K141" s="48"/>
      <c r="L141" s="48"/>
      <c r="Q141" s="48"/>
      <c r="R141" s="48"/>
      <c r="S141" s="48"/>
      <c r="T141" s="48"/>
    </row>
    <row r="142" spans="1:20" s="57" customFormat="1" ht="12.75" customHeight="1">
      <c r="A142" s="124"/>
      <c r="B142" s="58">
        <v>2003</v>
      </c>
      <c r="C142" s="22">
        <f t="shared" ref="C142:E151" si="24">C81</f>
        <v>87.572999999999993</v>
      </c>
      <c r="D142" s="22">
        <f t="shared" si="24"/>
        <v>84.531000000000006</v>
      </c>
      <c r="E142" s="22">
        <f t="shared" si="24"/>
        <v>83.442999999999998</v>
      </c>
      <c r="F142" s="120" t="s">
        <v>66</v>
      </c>
      <c r="G142" s="120" t="s">
        <v>66</v>
      </c>
      <c r="J142" s="48"/>
      <c r="K142" s="48"/>
      <c r="L142" s="48"/>
    </row>
    <row r="143" spans="1:20" s="57" customFormat="1" ht="12.75" customHeight="1">
      <c r="A143" s="124"/>
      <c r="B143" s="58">
        <v>2004</v>
      </c>
      <c r="C143" s="22">
        <f t="shared" si="24"/>
        <v>89.703000000000003</v>
      </c>
      <c r="D143" s="22">
        <f t="shared" si="24"/>
        <v>87.055999999999997</v>
      </c>
      <c r="E143" s="22">
        <f t="shared" si="24"/>
        <v>86.370999999999995</v>
      </c>
      <c r="F143" s="61">
        <f t="shared" ref="F143:G151" si="25">(D143/D142)/($C143/$C142)</f>
        <v>1.005416392587769</v>
      </c>
      <c r="G143" s="61">
        <f t="shared" si="25"/>
        <v>1.0105115878399982</v>
      </c>
      <c r="J143" s="48"/>
      <c r="K143" s="48"/>
      <c r="L143" s="48"/>
    </row>
    <row r="144" spans="1:20" s="57" customFormat="1" ht="12.75" customHeight="1">
      <c r="A144" s="124"/>
      <c r="B144" s="58">
        <v>2005</v>
      </c>
      <c r="C144" s="22">
        <f t="shared" si="24"/>
        <v>92.26</v>
      </c>
      <c r="D144" s="22">
        <f t="shared" si="24"/>
        <v>89.93</v>
      </c>
      <c r="E144" s="22">
        <f t="shared" si="24"/>
        <v>89.05</v>
      </c>
      <c r="F144" s="61">
        <f t="shared" si="25"/>
        <v>1.0043831132385073</v>
      </c>
      <c r="G144" s="61">
        <f t="shared" si="25"/>
        <v>1.0024425517891535</v>
      </c>
      <c r="J144" s="48"/>
      <c r="K144" s="48"/>
      <c r="L144" s="48"/>
    </row>
    <row r="145" spans="1:20" s="57" customFormat="1" ht="12.75" customHeight="1">
      <c r="A145" s="124"/>
      <c r="B145" s="58">
        <v>2006</v>
      </c>
      <c r="C145" s="22">
        <f t="shared" si="24"/>
        <v>94.727999999999994</v>
      </c>
      <c r="D145" s="22">
        <f t="shared" si="24"/>
        <v>92.974000000000004</v>
      </c>
      <c r="E145" s="22">
        <f t="shared" si="24"/>
        <v>91.864000000000004</v>
      </c>
      <c r="F145" s="61">
        <f t="shared" si="25"/>
        <v>1.0069131314803461</v>
      </c>
      <c r="G145" s="61">
        <f t="shared" si="25"/>
        <v>1.0047233840146874</v>
      </c>
      <c r="J145" s="48"/>
      <c r="K145" s="48"/>
      <c r="L145" s="48"/>
    </row>
    <row r="146" spans="1:20" s="57" customFormat="1" ht="12.75" customHeight="1">
      <c r="A146" s="124"/>
      <c r="B146" s="58">
        <v>2007</v>
      </c>
      <c r="C146" s="22">
        <f t="shared" si="24"/>
        <v>97.099000000000004</v>
      </c>
      <c r="D146" s="22">
        <f t="shared" si="24"/>
        <v>95.977000000000004</v>
      </c>
      <c r="E146" s="22">
        <f t="shared" si="24"/>
        <v>94.869</v>
      </c>
      <c r="F146" s="61">
        <f t="shared" si="25"/>
        <v>1.0070922776166338</v>
      </c>
      <c r="G146" s="61">
        <f t="shared" si="25"/>
        <v>1.0074942630516652</v>
      </c>
      <c r="J146" s="48"/>
      <c r="K146" s="48"/>
      <c r="L146" s="48"/>
    </row>
    <row r="147" spans="1:20" s="57" customFormat="1" ht="12.75" customHeight="1">
      <c r="A147" s="124"/>
      <c r="B147" s="58">
        <v>2008</v>
      </c>
      <c r="C147" s="22">
        <f t="shared" si="24"/>
        <v>100.063</v>
      </c>
      <c r="D147" s="22">
        <f t="shared" si="24"/>
        <v>98.942999999999998</v>
      </c>
      <c r="E147" s="22">
        <f t="shared" si="24"/>
        <v>97.320999999999998</v>
      </c>
      <c r="F147" s="61">
        <f t="shared" si="25"/>
        <v>1.0003665034246072</v>
      </c>
      <c r="G147" s="61">
        <f t="shared" si="25"/>
        <v>0.99545923020504579</v>
      </c>
      <c r="J147" s="48"/>
      <c r="K147" s="48"/>
      <c r="L147" s="48"/>
    </row>
    <row r="148" spans="1:20" s="57" customFormat="1" ht="12.75" customHeight="1">
      <c r="A148" s="124"/>
      <c r="B148" s="58">
        <v>2009</v>
      </c>
      <c r="C148" s="22">
        <f t="shared" si="24"/>
        <v>100</v>
      </c>
      <c r="D148" s="22">
        <f t="shared" si="24"/>
        <v>100</v>
      </c>
      <c r="E148" s="22">
        <f t="shared" si="24"/>
        <v>100</v>
      </c>
      <c r="F148" s="61">
        <f>(D148/D147)/($C148/$C147)</f>
        <v>1.0113196486866176</v>
      </c>
      <c r="G148" s="61">
        <f t="shared" si="25"/>
        <v>1.0281748029716093</v>
      </c>
      <c r="J148" s="48"/>
      <c r="K148" s="48"/>
      <c r="L148" s="48"/>
    </row>
    <row r="149" spans="1:20" s="57" customFormat="1" ht="12.75" customHeight="1">
      <c r="A149" s="124"/>
      <c r="B149" s="58">
        <v>2010</v>
      </c>
      <c r="C149" s="22">
        <f t="shared" si="24"/>
        <v>101.654</v>
      </c>
      <c r="D149" s="22">
        <f t="shared" si="24"/>
        <v>101.663</v>
      </c>
      <c r="E149" s="22">
        <f t="shared" si="24"/>
        <v>102.61</v>
      </c>
      <c r="F149" s="61">
        <f>(D149/D148)/($C149/$C148)</f>
        <v>1.0000885356208313</v>
      </c>
      <c r="G149" s="61">
        <f t="shared" si="25"/>
        <v>1.0094044503905404</v>
      </c>
      <c r="J149" s="48"/>
      <c r="K149" s="48"/>
      <c r="L149" s="48"/>
    </row>
    <row r="150" spans="1:20" s="57" customFormat="1" ht="12.75" customHeight="1">
      <c r="A150" s="124"/>
      <c r="B150" s="58">
        <v>2011</v>
      </c>
      <c r="C150" s="22">
        <f t="shared" si="24"/>
        <v>104.086</v>
      </c>
      <c r="D150" s="22">
        <f t="shared" si="24"/>
        <v>103.46299999999999</v>
      </c>
      <c r="E150" s="22">
        <f t="shared" si="24"/>
        <v>104.72499999999999</v>
      </c>
      <c r="F150" s="61">
        <f>(D150/D149)/($C150/$C149)</f>
        <v>0.99392656697337456</v>
      </c>
      <c r="G150" s="61">
        <f t="shared" si="25"/>
        <v>0.99676512598265754</v>
      </c>
      <c r="J150" s="48"/>
      <c r="K150" s="48"/>
      <c r="L150" s="48"/>
    </row>
    <row r="151" spans="1:20" s="57" customFormat="1" ht="12.75" customHeight="1">
      <c r="A151" s="124"/>
      <c r="B151" s="58">
        <v>2012</v>
      </c>
      <c r="C151" s="22">
        <f t="shared" si="24"/>
        <v>106.009</v>
      </c>
      <c r="D151" s="22">
        <f t="shared" si="24"/>
        <v>105.68899999999999</v>
      </c>
      <c r="E151" s="22">
        <f t="shared" si="24"/>
        <v>106.82899999999999</v>
      </c>
      <c r="F151" s="61">
        <f>(D151/D150)/($C151/$C150)</f>
        <v>1.0029846881509266</v>
      </c>
      <c r="G151" s="61">
        <f t="shared" si="25"/>
        <v>1.0015862995962446</v>
      </c>
      <c r="J151" s="48"/>
      <c r="K151" s="48"/>
      <c r="L151" s="48"/>
    </row>
    <row r="152" spans="1:20" s="57" customFormat="1" ht="12.75" customHeight="1">
      <c r="A152" s="124"/>
      <c r="B152" s="125" t="s">
        <v>192</v>
      </c>
      <c r="C152" s="126" t="s">
        <v>66</v>
      </c>
      <c r="D152" s="126" t="s">
        <v>66</v>
      </c>
      <c r="E152" s="126" t="s">
        <v>66</v>
      </c>
      <c r="F152" s="61">
        <f>AVERAGE(F142:F151)</f>
        <v>1.0036100953088458</v>
      </c>
      <c r="G152" s="61">
        <f>AVERAGE(G142:G147)</f>
        <v>1.0041262033801099</v>
      </c>
      <c r="J152" s="48"/>
      <c r="K152" s="48"/>
      <c r="L152" s="48"/>
    </row>
    <row r="153" spans="1:20" s="57" customFormat="1" ht="14.25">
      <c r="A153" s="89"/>
      <c r="B153" s="123" t="s">
        <v>23</v>
      </c>
      <c r="C153" s="28" t="s">
        <v>84</v>
      </c>
      <c r="D153" s="30"/>
      <c r="E153" s="30"/>
      <c r="F153" s="28" t="s">
        <v>85</v>
      </c>
      <c r="G153" s="30"/>
      <c r="J153" s="48"/>
      <c r="K153" s="48"/>
      <c r="L153" s="48"/>
    </row>
    <row r="154" spans="1:20" s="89" customFormat="1" ht="18" customHeight="1">
      <c r="B154" s="39" t="str">
        <f>C153</f>
        <v>[P2a]</v>
      </c>
      <c r="C154" s="88" t="s">
        <v>193</v>
      </c>
      <c r="D154" s="88"/>
      <c r="E154" s="88"/>
      <c r="F154" s="88"/>
      <c r="G154" s="88"/>
      <c r="H154" s="88"/>
      <c r="I154" s="88"/>
      <c r="J154" s="88"/>
      <c r="K154" s="88"/>
      <c r="L154" s="88"/>
      <c r="M154" s="88"/>
      <c r="N154" s="88"/>
      <c r="O154" s="88"/>
      <c r="P154" s="88"/>
      <c r="Q154" s="88"/>
      <c r="R154" s="88"/>
      <c r="S154" s="88"/>
      <c r="T154" s="124"/>
    </row>
    <row r="155" spans="1:20" s="89" customFormat="1" ht="18" customHeight="1">
      <c r="B155" s="39" t="str">
        <f>F153</f>
        <v>[P2b]</v>
      </c>
      <c r="C155" s="88" t="s">
        <v>194</v>
      </c>
      <c r="D155" s="88"/>
      <c r="E155" s="88"/>
      <c r="F155" s="88"/>
      <c r="G155" s="88"/>
      <c r="H155" s="88"/>
      <c r="I155" s="88"/>
      <c r="J155" s="88"/>
      <c r="K155" s="88"/>
      <c r="L155" s="88"/>
      <c r="M155" s="88"/>
      <c r="N155" s="88"/>
      <c r="O155" s="88"/>
      <c r="P155" s="88"/>
      <c r="Q155" s="88"/>
      <c r="R155" s="88"/>
      <c r="S155" s="127"/>
      <c r="T155" s="124"/>
    </row>
    <row r="156" spans="1:20" s="38" customFormat="1" ht="19.5" customHeight="1">
      <c r="A156" s="35" t="s">
        <v>92</v>
      </c>
      <c r="B156" s="43" t="s">
        <v>195</v>
      </c>
      <c r="C156" s="43"/>
      <c r="D156" s="43"/>
      <c r="E156" s="43"/>
      <c r="F156" s="43"/>
      <c r="G156" s="43"/>
      <c r="H156" s="67"/>
      <c r="I156" s="67"/>
      <c r="J156" s="67"/>
      <c r="K156" s="45"/>
      <c r="L156" s="45"/>
      <c r="M156" s="45"/>
      <c r="N156" s="45"/>
      <c r="O156" s="45"/>
      <c r="P156" s="45"/>
      <c r="Q156" s="45"/>
      <c r="R156" s="45"/>
      <c r="S156" s="45"/>
      <c r="T156" s="113"/>
    </row>
    <row r="157" spans="1:20" s="49" customFormat="1" ht="15" customHeight="1">
      <c r="A157" s="124"/>
      <c r="B157" s="79" t="s">
        <v>94</v>
      </c>
      <c r="C157" s="28" t="s">
        <v>196</v>
      </c>
      <c r="D157" s="30"/>
      <c r="E157" s="30"/>
      <c r="F157" s="28" t="s">
        <v>197</v>
      </c>
      <c r="G157" s="30"/>
      <c r="I157" s="48"/>
      <c r="J157" s="48"/>
      <c r="K157" s="48"/>
      <c r="L157" s="48"/>
      <c r="M157" s="48"/>
      <c r="N157" s="48"/>
      <c r="O157" s="48"/>
      <c r="P157" s="48"/>
      <c r="Q157" s="48"/>
      <c r="R157" s="48"/>
      <c r="S157" s="48"/>
      <c r="T157" s="48"/>
    </row>
    <row r="158" spans="1:20" s="49" customFormat="1" ht="33.75">
      <c r="A158" s="124"/>
      <c r="B158" s="50"/>
      <c r="C158" s="81" t="s">
        <v>151</v>
      </c>
      <c r="D158" s="81" t="s">
        <v>188</v>
      </c>
      <c r="E158" s="81" t="s">
        <v>152</v>
      </c>
      <c r="F158" s="63" t="s">
        <v>198</v>
      </c>
      <c r="G158" s="27" t="s">
        <v>199</v>
      </c>
      <c r="H158" s="48"/>
      <c r="I158" s="48"/>
      <c r="M158" s="48"/>
      <c r="N158" s="48"/>
      <c r="O158" s="48"/>
      <c r="P158" s="48"/>
      <c r="Q158" s="48"/>
      <c r="R158" s="48"/>
      <c r="T158" s="48"/>
    </row>
    <row r="159" spans="1:20" s="57" customFormat="1" ht="12.75" customHeight="1">
      <c r="A159" s="124"/>
      <c r="B159" s="58">
        <v>2003</v>
      </c>
      <c r="C159" s="22">
        <f t="shared" ref="C159:E168" si="26">F81</f>
        <v>184</v>
      </c>
      <c r="D159" s="22">
        <f t="shared" si="26"/>
        <v>216.5</v>
      </c>
      <c r="E159" s="22">
        <f t="shared" si="26"/>
        <v>297.10000000000002</v>
      </c>
      <c r="F159" s="118" t="s">
        <v>66</v>
      </c>
      <c r="G159" s="118" t="s">
        <v>66</v>
      </c>
      <c r="H159" s="48"/>
      <c r="I159" s="48"/>
    </row>
    <row r="160" spans="1:20" s="57" customFormat="1" ht="12.75" customHeight="1">
      <c r="A160" s="124"/>
      <c r="B160" s="58">
        <v>2004</v>
      </c>
      <c r="C160" s="22">
        <f t="shared" si="26"/>
        <v>188.9</v>
      </c>
      <c r="D160" s="22">
        <f t="shared" si="26"/>
        <v>222.8</v>
      </c>
      <c r="E160" s="22">
        <f t="shared" si="26"/>
        <v>310.10000000000002</v>
      </c>
      <c r="F160" s="61">
        <f t="shared" ref="F160:G168" si="27">(D160/D159)/($C160/$C159)</f>
        <v>1.0024048306898943</v>
      </c>
      <c r="G160" s="61">
        <f t="shared" si="27"/>
        <v>1.0166816369781722</v>
      </c>
      <c r="H160" s="48"/>
      <c r="I160" s="48"/>
    </row>
    <row r="161" spans="1:20" s="57" customFormat="1" ht="12.75" customHeight="1">
      <c r="A161" s="124"/>
      <c r="B161" s="58">
        <v>2005</v>
      </c>
      <c r="C161" s="22">
        <f t="shared" si="26"/>
        <v>195.3</v>
      </c>
      <c r="D161" s="22">
        <f t="shared" si="26"/>
        <v>230.1</v>
      </c>
      <c r="E161" s="22">
        <f t="shared" si="26"/>
        <v>323.2</v>
      </c>
      <c r="F161" s="61">
        <f t="shared" si="27"/>
        <v>0.9989210081438028</v>
      </c>
      <c r="G161" s="61">
        <f t="shared" si="27"/>
        <v>1.0080899856726593</v>
      </c>
      <c r="H161" s="48"/>
      <c r="I161" s="48"/>
    </row>
    <row r="162" spans="1:20" s="57" customFormat="1" ht="12.75" customHeight="1">
      <c r="A162" s="124"/>
      <c r="B162" s="58">
        <v>2006</v>
      </c>
      <c r="C162" s="22">
        <f t="shared" si="26"/>
        <v>201.6</v>
      </c>
      <c r="D162" s="22">
        <f t="shared" si="26"/>
        <v>238.9</v>
      </c>
      <c r="E162" s="22">
        <f t="shared" si="26"/>
        <v>336.2</v>
      </c>
      <c r="F162" s="61">
        <f t="shared" si="27"/>
        <v>1.0057991090830076</v>
      </c>
      <c r="G162" s="61">
        <f t="shared" si="27"/>
        <v>1.0077158106435644</v>
      </c>
      <c r="H162" s="48"/>
      <c r="I162" s="48"/>
    </row>
    <row r="163" spans="1:20" s="57" customFormat="1" ht="12.75" customHeight="1">
      <c r="A163" s="124"/>
      <c r="B163" s="58">
        <v>2007</v>
      </c>
      <c r="C163" s="22">
        <f t="shared" si="26"/>
        <v>207.34200000000001</v>
      </c>
      <c r="D163" s="22">
        <f t="shared" si="26"/>
        <v>246.84800000000001</v>
      </c>
      <c r="E163" s="22">
        <f t="shared" si="26"/>
        <v>351.05399999999997</v>
      </c>
      <c r="F163" s="61">
        <f t="shared" si="27"/>
        <v>1.0046544390179095</v>
      </c>
      <c r="G163" s="61">
        <f t="shared" si="27"/>
        <v>1.0152651086410838</v>
      </c>
      <c r="H163" s="48"/>
      <c r="I163" s="48"/>
    </row>
    <row r="164" spans="1:20" s="57" customFormat="1" ht="12.75" customHeight="1">
      <c r="A164" s="124"/>
      <c r="B164" s="58">
        <v>2008</v>
      </c>
      <c r="C164" s="22">
        <f t="shared" si="26"/>
        <v>215.303</v>
      </c>
      <c r="D164" s="22">
        <f t="shared" si="26"/>
        <v>255.49799999999999</v>
      </c>
      <c r="E164" s="22">
        <f t="shared" si="26"/>
        <v>364.065</v>
      </c>
      <c r="F164" s="61">
        <f t="shared" si="27"/>
        <v>0.99677031146129258</v>
      </c>
      <c r="G164" s="61">
        <f t="shared" si="27"/>
        <v>0.9987164553075456</v>
      </c>
      <c r="H164" s="48"/>
      <c r="I164" s="48"/>
    </row>
    <row r="165" spans="1:20" s="57" customFormat="1" ht="12.75" customHeight="1">
      <c r="A165" s="124"/>
      <c r="B165" s="58">
        <v>2009</v>
      </c>
      <c r="C165" s="22">
        <f t="shared" si="26"/>
        <v>214.53700000000001</v>
      </c>
      <c r="D165" s="22">
        <f t="shared" si="26"/>
        <v>259.154</v>
      </c>
      <c r="E165" s="22">
        <f t="shared" si="26"/>
        <v>375.613</v>
      </c>
      <c r="F165" s="61">
        <f t="shared" si="27"/>
        <v>1.0179308804455143</v>
      </c>
      <c r="G165" s="61">
        <f t="shared" si="27"/>
        <v>1.0354033444181816</v>
      </c>
      <c r="H165" s="48"/>
      <c r="I165" s="48"/>
    </row>
    <row r="166" spans="1:20" s="57" customFormat="1" ht="12.75" customHeight="1">
      <c r="A166" s="124"/>
      <c r="B166" s="58">
        <v>2010</v>
      </c>
      <c r="C166" s="22">
        <f t="shared" si="26"/>
        <v>218.05600000000001</v>
      </c>
      <c r="D166" s="22">
        <f t="shared" si="26"/>
        <v>261.274</v>
      </c>
      <c r="E166" s="22">
        <f t="shared" si="26"/>
        <v>388.43599999999998</v>
      </c>
      <c r="F166" s="61">
        <f t="shared" si="27"/>
        <v>0.99191039105600898</v>
      </c>
      <c r="G166" s="61">
        <f t="shared" si="27"/>
        <v>1.0174498698691563</v>
      </c>
      <c r="H166" s="48"/>
      <c r="I166" s="48"/>
    </row>
    <row r="167" spans="1:20" s="57" customFormat="1" ht="12.75" customHeight="1">
      <c r="A167" s="124"/>
      <c r="B167" s="58">
        <v>2011</v>
      </c>
      <c r="C167" s="22">
        <f t="shared" si="26"/>
        <v>224.93899999999999</v>
      </c>
      <c r="D167" s="22">
        <f t="shared" si="26"/>
        <v>265.762</v>
      </c>
      <c r="E167" s="22">
        <f t="shared" si="26"/>
        <v>400.25799999999998</v>
      </c>
      <c r="F167" s="61">
        <f t="shared" si="27"/>
        <v>0.98605234508625705</v>
      </c>
      <c r="G167" s="61">
        <f t="shared" si="27"/>
        <v>0.99890417616512195</v>
      </c>
      <c r="H167" s="48"/>
      <c r="I167" s="48"/>
    </row>
    <row r="168" spans="1:20" s="57" customFormat="1" ht="12.75" customHeight="1">
      <c r="A168" s="124"/>
      <c r="B168" s="58">
        <v>2012</v>
      </c>
      <c r="C168" s="22">
        <f t="shared" si="26"/>
        <v>229.59399999999999</v>
      </c>
      <c r="D168" s="22">
        <f t="shared" si="26"/>
        <v>271.37400000000002</v>
      </c>
      <c r="E168" s="22">
        <f t="shared" si="26"/>
        <v>414.92399999999998</v>
      </c>
      <c r="F168" s="61">
        <f t="shared" si="27"/>
        <v>1.0004135799670828</v>
      </c>
      <c r="G168" s="61">
        <f t="shared" si="27"/>
        <v>1.0156235454688169</v>
      </c>
      <c r="H168" s="48"/>
      <c r="I168" s="48"/>
    </row>
    <row r="169" spans="1:20" s="57" customFormat="1" ht="12.75" customHeight="1">
      <c r="A169" s="124"/>
      <c r="B169" s="125" t="s">
        <v>192</v>
      </c>
      <c r="C169" s="126" t="s">
        <v>66</v>
      </c>
      <c r="D169" s="126" t="s">
        <v>66</v>
      </c>
      <c r="E169" s="126" t="s">
        <v>66</v>
      </c>
      <c r="F169" s="128">
        <f>AVERAGE(F159:F168)</f>
        <v>1.00053965499453</v>
      </c>
      <c r="G169" s="128">
        <f>AVERAGE(G159:G168)</f>
        <v>1.0126499925738113</v>
      </c>
      <c r="I169" s="48"/>
      <c r="J169" s="48"/>
      <c r="K169" s="48"/>
      <c r="L169" s="48"/>
    </row>
    <row r="170" spans="1:20" s="57" customFormat="1" ht="14.25">
      <c r="A170" s="89"/>
      <c r="B170" s="123" t="s">
        <v>23</v>
      </c>
      <c r="C170" s="28" t="s">
        <v>100</v>
      </c>
      <c r="D170" s="30"/>
      <c r="E170" s="30"/>
      <c r="F170" s="28" t="s">
        <v>101</v>
      </c>
      <c r="G170" s="30"/>
    </row>
    <row r="171" spans="1:20" s="89" customFormat="1" ht="18" customHeight="1">
      <c r="B171" s="39" t="str">
        <f>C170</f>
        <v>[P3a]</v>
      </c>
      <c r="C171" s="88" t="s">
        <v>200</v>
      </c>
      <c r="D171" s="88"/>
      <c r="E171" s="88"/>
      <c r="F171" s="88"/>
      <c r="G171" s="88"/>
      <c r="H171" s="88"/>
      <c r="I171" s="88"/>
      <c r="J171" s="88"/>
      <c r="K171" s="88"/>
      <c r="L171" s="88"/>
      <c r="M171" s="88"/>
      <c r="N171" s="88"/>
      <c r="O171" s="88"/>
      <c r="P171" s="88"/>
      <c r="Q171" s="88"/>
      <c r="R171" s="88"/>
      <c r="S171" s="88"/>
      <c r="T171" s="124"/>
    </row>
    <row r="172" spans="1:20" s="89" customFormat="1" ht="18" customHeight="1">
      <c r="B172" s="39" t="str">
        <f>F170</f>
        <v>[P3b]</v>
      </c>
      <c r="C172" s="88" t="s">
        <v>201</v>
      </c>
      <c r="D172" s="88"/>
      <c r="E172" s="88"/>
      <c r="F172" s="88"/>
      <c r="G172" s="88"/>
      <c r="H172" s="88"/>
      <c r="I172" s="88"/>
      <c r="J172" s="88"/>
      <c r="K172" s="88"/>
      <c r="L172" s="88"/>
      <c r="M172" s="88"/>
      <c r="N172" s="88"/>
      <c r="O172" s="88"/>
      <c r="P172" s="88"/>
      <c r="Q172" s="88"/>
      <c r="R172" s="88"/>
      <c r="S172" s="88"/>
      <c r="T172" s="124"/>
    </row>
    <row r="173" spans="1:20" s="38" customFormat="1" ht="19.5" customHeight="1">
      <c r="A173" s="44" t="s">
        <v>202</v>
      </c>
      <c r="B173" s="43" t="s">
        <v>203</v>
      </c>
      <c r="C173" s="43"/>
      <c r="D173" s="43"/>
      <c r="E173" s="43"/>
      <c r="F173" s="43"/>
      <c r="G173" s="43"/>
      <c r="H173" s="67"/>
      <c r="I173" s="67"/>
      <c r="J173" s="67"/>
      <c r="K173" s="45"/>
      <c r="L173" s="45"/>
      <c r="M173" s="45"/>
      <c r="N173" s="45"/>
      <c r="O173" s="45"/>
      <c r="P173" s="45"/>
      <c r="Q173" s="45"/>
      <c r="R173" s="45"/>
      <c r="S173" s="45"/>
      <c r="T173" s="113"/>
    </row>
    <row r="174" spans="1:20" s="49" customFormat="1" ht="15" customHeight="1">
      <c r="A174" s="116"/>
      <c r="B174" s="79" t="s">
        <v>94</v>
      </c>
      <c r="C174" s="28" t="s">
        <v>204</v>
      </c>
      <c r="D174" s="30"/>
      <c r="E174" s="30"/>
      <c r="F174" s="15" t="s">
        <v>205</v>
      </c>
      <c r="G174" s="15" t="s">
        <v>206</v>
      </c>
      <c r="M174" s="93"/>
      <c r="N174" s="48"/>
      <c r="O174" s="48"/>
      <c r="P174" s="48"/>
      <c r="Q174" s="48"/>
      <c r="R174" s="48"/>
      <c r="S174" s="48"/>
      <c r="T174" s="48"/>
    </row>
    <row r="175" spans="1:20" s="49" customFormat="1" ht="50.25" customHeight="1">
      <c r="A175" s="12"/>
      <c r="B175" s="50"/>
      <c r="C175" s="81" t="s">
        <v>207</v>
      </c>
      <c r="D175" s="81" t="s">
        <v>208</v>
      </c>
      <c r="E175" s="81" t="s">
        <v>209</v>
      </c>
      <c r="F175" s="9"/>
      <c r="G175" s="9"/>
      <c r="M175" s="48"/>
      <c r="N175" s="48"/>
      <c r="O175" s="48"/>
      <c r="P175" s="48"/>
      <c r="Q175" s="48"/>
      <c r="R175" s="48"/>
      <c r="T175" s="48"/>
    </row>
    <row r="176" spans="1:20" s="57" customFormat="1" ht="12.75" customHeight="1">
      <c r="A176" s="12"/>
      <c r="B176" s="58">
        <v>2011</v>
      </c>
      <c r="C176" s="61">
        <v>1.133</v>
      </c>
      <c r="D176" s="129">
        <v>1.1336900000000001</v>
      </c>
      <c r="E176" s="129">
        <f>B89/100</f>
        <v>1.03199</v>
      </c>
      <c r="F176" s="120" t="s">
        <v>66</v>
      </c>
      <c r="G176" s="61">
        <f>E176</f>
        <v>1.03199</v>
      </c>
      <c r="H176" s="130"/>
      <c r="I176" s="131"/>
    </row>
    <row r="177" spans="1:20" s="57" customFormat="1" ht="12.75" customHeight="1">
      <c r="A177" s="12"/>
      <c r="B177" s="58">
        <v>2012</v>
      </c>
      <c r="C177" s="61">
        <v>1.1539999999999999</v>
      </c>
      <c r="D177" s="129">
        <v>1.1538917499999999</v>
      </c>
      <c r="E177" s="129">
        <f>B90/100</f>
        <v>1.05002</v>
      </c>
      <c r="F177" s="61">
        <f t="shared" ref="F177:F186" si="28">(D177/D176)/(C177/C176)</f>
        <v>0.99929762094342223</v>
      </c>
      <c r="G177" s="61">
        <f>E177</f>
        <v>1.05002</v>
      </c>
      <c r="H177" s="130"/>
      <c r="I177" s="131"/>
    </row>
    <row r="178" spans="1:20" s="57" customFormat="1" ht="12.75" customHeight="1">
      <c r="A178" s="12"/>
      <c r="B178" s="58">
        <v>2013</v>
      </c>
      <c r="C178" s="61">
        <v>1.171</v>
      </c>
      <c r="D178" s="61">
        <v>1.1708132499999999</v>
      </c>
      <c r="E178" s="126" t="s">
        <v>210</v>
      </c>
      <c r="F178" s="61">
        <f t="shared" si="28"/>
        <v>0.9999343189205756</v>
      </c>
      <c r="G178" s="105">
        <f>G177*AVERAGE(C178/C177,D178/D177)</f>
        <v>1.0654532410270983</v>
      </c>
      <c r="H178" s="130"/>
      <c r="I178" s="132"/>
    </row>
    <row r="179" spans="1:20" s="57" customFormat="1" ht="12.75" customHeight="1">
      <c r="A179" s="12"/>
      <c r="B179" s="58">
        <v>2014</v>
      </c>
      <c r="C179" s="61">
        <v>1.19</v>
      </c>
      <c r="D179" s="61">
        <v>1.1914564999999999</v>
      </c>
      <c r="E179" s="126" t="s">
        <v>210</v>
      </c>
      <c r="F179" s="61">
        <f t="shared" si="28"/>
        <v>1.0013836493206609</v>
      </c>
      <c r="G179" s="105">
        <f>G178*AVERAGE(C179/C178,D179/D178)</f>
        <v>1.0834897642577856</v>
      </c>
      <c r="H179" s="130"/>
      <c r="I179" s="132"/>
    </row>
    <row r="180" spans="1:20" s="57" customFormat="1" ht="12.75" customHeight="1">
      <c r="A180" s="12"/>
      <c r="B180" s="58">
        <v>2015</v>
      </c>
      <c r="C180" s="61">
        <v>1.21</v>
      </c>
      <c r="D180" s="61">
        <v>1.2153032500000001</v>
      </c>
      <c r="E180" s="126" t="s">
        <v>210</v>
      </c>
      <c r="F180" s="61">
        <f t="shared" si="28"/>
        <v>1.0031550400498943</v>
      </c>
      <c r="G180" s="105">
        <f>G179*AVERAGE(C180/C179,D180/D179)</f>
        <v>1.1034376295628991</v>
      </c>
      <c r="H180" s="130"/>
      <c r="I180" s="132"/>
    </row>
    <row r="181" spans="1:20" s="57" customFormat="1" ht="12.75" customHeight="1">
      <c r="A181" s="12"/>
      <c r="B181" s="58">
        <v>2016</v>
      </c>
      <c r="C181" s="61">
        <v>1.232</v>
      </c>
      <c r="D181" s="61">
        <v>1.2405169999999999</v>
      </c>
      <c r="E181" s="126" t="s">
        <v>210</v>
      </c>
      <c r="F181" s="61">
        <f t="shared" si="28"/>
        <v>1.0025192565841368</v>
      </c>
      <c r="G181" s="105">
        <f t="shared" ref="G181:G186" si="29">G180*AVERAGE(C181/C180,D181/D180)</f>
        <v>1.1249153244708954</v>
      </c>
      <c r="H181" s="130"/>
      <c r="I181" s="132"/>
    </row>
    <row r="182" spans="1:20" s="57" customFormat="1" ht="12.75" customHeight="1">
      <c r="A182" s="12"/>
      <c r="B182" s="58">
        <v>2017</v>
      </c>
      <c r="C182" s="61">
        <v>1.256</v>
      </c>
      <c r="D182" s="61">
        <v>1.2666744999999999</v>
      </c>
      <c r="E182" s="126" t="s">
        <v>210</v>
      </c>
      <c r="F182" s="61">
        <f t="shared" si="28"/>
        <v>1.0015747697632684</v>
      </c>
      <c r="G182" s="105">
        <f t="shared" si="29"/>
        <v>1.1477322553838238</v>
      </c>
      <c r="H182" s="130"/>
      <c r="I182" s="132"/>
    </row>
    <row r="183" spans="1:20" s="57" customFormat="1" ht="12.75" customHeight="1">
      <c r="A183" s="12"/>
      <c r="B183" s="58">
        <v>2018</v>
      </c>
      <c r="C183" s="61">
        <v>1.284</v>
      </c>
      <c r="D183" s="61">
        <v>1.2931815</v>
      </c>
      <c r="E183" s="126" t="s">
        <v>210</v>
      </c>
      <c r="F183" s="61">
        <f t="shared" si="28"/>
        <v>0.99866325593025818</v>
      </c>
      <c r="G183" s="105">
        <f t="shared" si="29"/>
        <v>1.1725344298735629</v>
      </c>
      <c r="H183" s="130"/>
      <c r="I183" s="132"/>
    </row>
    <row r="184" spans="1:20" s="57" customFormat="1" ht="12.75" customHeight="1">
      <c r="A184" s="62"/>
      <c r="B184" s="58">
        <v>2019</v>
      </c>
      <c r="C184" s="61">
        <v>1.3149999999999999</v>
      </c>
      <c r="D184" s="61">
        <v>1.3196825000000001</v>
      </c>
      <c r="E184" s="126" t="s">
        <v>210</v>
      </c>
      <c r="F184" s="61">
        <f t="shared" si="28"/>
        <v>0.99643562335870184</v>
      </c>
      <c r="G184" s="105">
        <f t="shared" si="29"/>
        <v>1.198703154057488</v>
      </c>
      <c r="H184" s="130"/>
      <c r="I184" s="132"/>
    </row>
    <row r="185" spans="1:20" s="57" customFormat="1" ht="12.75" customHeight="1">
      <c r="A185" s="62"/>
      <c r="B185" s="58">
        <v>2020</v>
      </c>
      <c r="C185" s="61">
        <v>1.3460000000000001</v>
      </c>
      <c r="D185" s="61">
        <v>1.3467665</v>
      </c>
      <c r="E185" s="126" t="s">
        <v>210</v>
      </c>
      <c r="F185" s="61">
        <f t="shared" si="28"/>
        <v>0.99701924256968355</v>
      </c>
      <c r="G185" s="105">
        <f t="shared" si="29"/>
        <v>1.2251329180213952</v>
      </c>
      <c r="H185" s="130"/>
      <c r="I185" s="133"/>
    </row>
    <row r="186" spans="1:20" s="57" customFormat="1" ht="12.75" customHeight="1">
      <c r="A186" s="62"/>
      <c r="B186" s="58">
        <v>2021</v>
      </c>
      <c r="C186" s="61">
        <v>1.379</v>
      </c>
      <c r="D186" s="61">
        <v>1.3743622500000001</v>
      </c>
      <c r="E186" s="126"/>
      <c r="F186" s="61">
        <f t="shared" si="28"/>
        <v>0.99606964766346406</v>
      </c>
      <c r="G186" s="105">
        <f t="shared" si="29"/>
        <v>1.2527029797733638</v>
      </c>
      <c r="H186" s="130"/>
      <c r="I186" s="133"/>
    </row>
    <row r="187" spans="1:20" s="57" customFormat="1" ht="12.75" customHeight="1">
      <c r="A187" s="62"/>
      <c r="B187" s="58">
        <v>2022</v>
      </c>
      <c r="C187" s="122" t="s">
        <v>65</v>
      </c>
      <c r="D187" s="61">
        <v>1.4022017499999999</v>
      </c>
      <c r="E187" s="126"/>
      <c r="F187" s="122" t="s">
        <v>66</v>
      </c>
      <c r="G187" s="105">
        <f>G186*AVERAGE(D187/D186)</f>
        <v>1.2780781125707033</v>
      </c>
      <c r="H187" s="130"/>
      <c r="I187" s="133"/>
    </row>
    <row r="188" spans="1:20" s="57" customFormat="1" ht="12.75" customHeight="1">
      <c r="A188" s="62"/>
      <c r="B188" s="58">
        <v>2023</v>
      </c>
      <c r="C188" s="122" t="s">
        <v>65</v>
      </c>
      <c r="D188" s="61">
        <v>1.43016225</v>
      </c>
      <c r="E188" s="126"/>
      <c r="F188" s="122" t="s">
        <v>66</v>
      </c>
      <c r="G188" s="105">
        <f>G187*AVERAGE(D188/D187)</f>
        <v>1.3035635343843139</v>
      </c>
      <c r="H188" s="130"/>
      <c r="I188" s="133"/>
    </row>
    <row r="189" spans="1:20" s="57" customFormat="1" ht="14.25">
      <c r="B189" s="123" t="s">
        <v>23</v>
      </c>
      <c r="C189" s="27" t="s">
        <v>211</v>
      </c>
      <c r="D189" s="27" t="s">
        <v>212</v>
      </c>
      <c r="E189" s="27" t="s">
        <v>213</v>
      </c>
      <c r="F189" s="27" t="s">
        <v>214</v>
      </c>
      <c r="G189" s="27" t="s">
        <v>215</v>
      </c>
      <c r="H189" s="130"/>
    </row>
    <row r="190" spans="1:20" s="89" customFormat="1" ht="18" customHeight="1">
      <c r="B190" s="39" t="str">
        <f>C189</f>
        <v>[P4a]</v>
      </c>
      <c r="C190" s="88" t="s">
        <v>216</v>
      </c>
      <c r="D190" s="88"/>
      <c r="E190" s="88"/>
      <c r="F190" s="88"/>
      <c r="G190" s="88"/>
      <c r="H190" s="88"/>
      <c r="I190" s="88"/>
      <c r="J190" s="88"/>
      <c r="K190" s="88"/>
      <c r="L190" s="88"/>
      <c r="M190" s="88"/>
      <c r="N190" s="88"/>
      <c r="O190" s="88"/>
      <c r="P190" s="88"/>
      <c r="Q190" s="88"/>
      <c r="R190" s="88"/>
      <c r="S190" s="88"/>
      <c r="T190" s="124"/>
    </row>
    <row r="191" spans="1:20" s="89" customFormat="1" ht="18" customHeight="1">
      <c r="B191" s="39" t="str">
        <f>D189</f>
        <v>[P4b]</v>
      </c>
      <c r="C191" s="88" t="s">
        <v>217</v>
      </c>
      <c r="D191" s="88"/>
      <c r="E191" s="88"/>
      <c r="F191" s="88"/>
      <c r="G191" s="88"/>
      <c r="H191" s="88"/>
      <c r="I191" s="88"/>
      <c r="J191" s="88"/>
      <c r="K191" s="88"/>
      <c r="L191" s="88"/>
      <c r="M191" s="88"/>
      <c r="N191" s="88"/>
      <c r="O191" s="88"/>
      <c r="P191" s="88"/>
      <c r="Q191" s="88"/>
      <c r="R191" s="88"/>
      <c r="S191" s="88"/>
      <c r="T191" s="124"/>
    </row>
    <row r="192" spans="1:20" s="89" customFormat="1" ht="18" customHeight="1">
      <c r="B192" s="39" t="str">
        <f>E189</f>
        <v>[P4c]</v>
      </c>
      <c r="C192" s="88" t="s">
        <v>218</v>
      </c>
      <c r="D192" s="88"/>
      <c r="E192" s="88"/>
      <c r="F192" s="88"/>
      <c r="G192" s="88"/>
      <c r="H192" s="88"/>
      <c r="I192" s="88"/>
      <c r="J192" s="88"/>
      <c r="K192" s="88"/>
      <c r="L192" s="88"/>
      <c r="M192" s="88"/>
      <c r="N192" s="88"/>
      <c r="O192" s="88"/>
      <c r="P192" s="88"/>
      <c r="Q192" s="88"/>
      <c r="R192" s="88"/>
      <c r="S192" s="88"/>
      <c r="T192" s="124"/>
    </row>
    <row r="193" spans="1:20" s="89" customFormat="1" ht="24.75" customHeight="1">
      <c r="B193" s="39" t="str">
        <f>F189</f>
        <v>[P4d]</v>
      </c>
      <c r="C193" s="88" t="s">
        <v>219</v>
      </c>
      <c r="D193" s="88"/>
      <c r="E193" s="88"/>
      <c r="F193" s="88"/>
      <c r="G193" s="88"/>
      <c r="H193" s="88"/>
      <c r="I193" s="88"/>
      <c r="J193" s="88"/>
      <c r="K193" s="88"/>
      <c r="L193" s="88"/>
      <c r="M193" s="88"/>
      <c r="N193" s="88"/>
      <c r="O193" s="88"/>
      <c r="P193" s="88"/>
      <c r="Q193" s="88"/>
      <c r="R193" s="88"/>
      <c r="S193" s="88"/>
      <c r="T193" s="124"/>
    </row>
    <row r="194" spans="1:20" s="89" customFormat="1" ht="36" customHeight="1">
      <c r="B194" s="39" t="str">
        <f>G189</f>
        <v>[P4e]</v>
      </c>
      <c r="C194" s="88" t="s">
        <v>220</v>
      </c>
      <c r="D194" s="88"/>
      <c r="E194" s="88"/>
      <c r="F194" s="88"/>
      <c r="G194" s="88"/>
      <c r="H194" s="88"/>
      <c r="I194" s="88"/>
      <c r="J194" s="88"/>
      <c r="K194" s="88"/>
      <c r="L194" s="88"/>
      <c r="M194" s="88"/>
      <c r="N194" s="88"/>
      <c r="O194" s="88"/>
      <c r="P194" s="88"/>
      <c r="Q194" s="88"/>
      <c r="R194" s="88"/>
      <c r="S194" s="88"/>
      <c r="T194" s="124"/>
    </row>
    <row r="195" spans="1:20" s="38" customFormat="1" ht="19.5" customHeight="1">
      <c r="A195" s="44" t="s">
        <v>221</v>
      </c>
      <c r="B195" s="67" t="s">
        <v>222</v>
      </c>
      <c r="C195" s="67"/>
      <c r="D195" s="67"/>
      <c r="E195" s="67"/>
      <c r="F195" s="67"/>
      <c r="G195" s="67"/>
      <c r="H195" s="67"/>
      <c r="I195" s="67"/>
      <c r="J195" s="67"/>
      <c r="K195" s="67"/>
      <c r="L195" s="67"/>
      <c r="M195" s="67"/>
      <c r="N195" s="67"/>
      <c r="O195" s="67"/>
      <c r="P195" s="67"/>
      <c r="Q195" s="67"/>
      <c r="R195" s="67"/>
      <c r="S195" s="67"/>
      <c r="T195" s="113"/>
    </row>
    <row r="196" spans="1:20" s="49" customFormat="1" ht="15" customHeight="1">
      <c r="A196" s="116"/>
      <c r="B196" s="79" t="s">
        <v>94</v>
      </c>
      <c r="C196" s="28" t="s">
        <v>223</v>
      </c>
      <c r="D196" s="30"/>
      <c r="E196" s="28" t="s">
        <v>224</v>
      </c>
      <c r="F196" s="30"/>
      <c r="G196" s="48"/>
      <c r="I196" s="130"/>
      <c r="J196" s="130"/>
      <c r="K196" s="130"/>
      <c r="L196" s="130"/>
      <c r="M196" s="93"/>
      <c r="N196" s="48"/>
      <c r="O196" s="48"/>
      <c r="P196" s="48"/>
      <c r="Q196" s="48"/>
      <c r="R196" s="48"/>
      <c r="S196" s="48"/>
      <c r="T196" s="48"/>
    </row>
    <row r="197" spans="1:20" s="49" customFormat="1" ht="27.75" customHeight="1">
      <c r="A197" s="12"/>
      <c r="B197" s="50"/>
      <c r="C197" s="81" t="s">
        <v>225</v>
      </c>
      <c r="D197" s="81" t="s">
        <v>226</v>
      </c>
      <c r="E197" s="81" t="s">
        <v>225</v>
      </c>
      <c r="F197" s="81" t="s">
        <v>226</v>
      </c>
      <c r="I197" s="130"/>
      <c r="J197" s="48"/>
      <c r="K197" s="48"/>
      <c r="L197" s="48"/>
      <c r="M197" s="48"/>
      <c r="N197" s="48"/>
      <c r="O197" s="48"/>
      <c r="P197" s="48"/>
      <c r="Q197" s="48"/>
      <c r="R197" s="48"/>
      <c r="T197" s="48"/>
    </row>
    <row r="198" spans="1:20" s="49" customFormat="1" ht="12.75" customHeight="1">
      <c r="A198" s="12"/>
      <c r="B198" s="58">
        <v>1960</v>
      </c>
      <c r="C198" s="134" t="s">
        <v>210</v>
      </c>
      <c r="D198" s="134" t="s">
        <v>210</v>
      </c>
      <c r="E198" s="135">
        <v>26.5</v>
      </c>
      <c r="F198" s="135">
        <f>100*126/474</f>
        <v>26.582278481012658</v>
      </c>
      <c r="I198" s="130"/>
      <c r="J198" s="48"/>
      <c r="K198" s="48"/>
      <c r="L198" s="48"/>
      <c r="M198" s="48"/>
      <c r="N198" s="48"/>
      <c r="O198" s="48"/>
      <c r="P198" s="48"/>
      <c r="Q198" s="48"/>
      <c r="R198" s="48"/>
      <c r="T198" s="48"/>
    </row>
    <row r="199" spans="1:20" s="57" customFormat="1" ht="12.75" customHeight="1">
      <c r="A199" s="12"/>
      <c r="B199" s="58">
        <v>1965</v>
      </c>
      <c r="C199" s="135">
        <v>46.43</v>
      </c>
      <c r="D199" s="135">
        <v>46.37</v>
      </c>
      <c r="E199" s="135">
        <v>38.799999999999997</v>
      </c>
      <c r="F199" s="135">
        <f>100*302/779</f>
        <v>38.767650834403078</v>
      </c>
      <c r="I199" s="48"/>
      <c r="J199" s="48"/>
      <c r="K199" s="48"/>
      <c r="L199" s="48"/>
    </row>
    <row r="200" spans="1:20" s="57" customFormat="1" ht="12.75" customHeight="1">
      <c r="A200" s="12"/>
      <c r="B200" s="58">
        <v>1970</v>
      </c>
      <c r="C200" s="135">
        <v>61.27</v>
      </c>
      <c r="D200" s="135">
        <v>61.33</v>
      </c>
      <c r="E200" s="134" t="s">
        <v>210</v>
      </c>
      <c r="F200" s="134" t="s">
        <v>210</v>
      </c>
      <c r="I200" s="130"/>
    </row>
    <row r="201" spans="1:20" s="57" customFormat="1" ht="12.75" customHeight="1">
      <c r="A201" s="12"/>
      <c r="B201" s="58">
        <v>1975</v>
      </c>
      <c r="C201" s="135">
        <v>85.14</v>
      </c>
      <c r="D201" s="135">
        <v>85.12</v>
      </c>
      <c r="E201" s="134" t="s">
        <v>210</v>
      </c>
      <c r="F201" s="134" t="s">
        <v>210</v>
      </c>
      <c r="I201" s="130"/>
    </row>
    <row r="202" spans="1:20" s="57" customFormat="1" ht="12.75" customHeight="1">
      <c r="A202" s="12"/>
      <c r="B202" s="58">
        <v>1977</v>
      </c>
      <c r="C202" s="135">
        <v>100</v>
      </c>
      <c r="D202" s="135">
        <v>100</v>
      </c>
      <c r="E202" s="134" t="s">
        <v>210</v>
      </c>
      <c r="F202" s="134" t="s">
        <v>210</v>
      </c>
      <c r="I202" s="130"/>
    </row>
    <row r="203" spans="1:20" s="57" customFormat="1" ht="12.75" customHeight="1">
      <c r="A203" s="12"/>
      <c r="B203" s="58">
        <v>1980</v>
      </c>
      <c r="C203" s="135">
        <v>131.28</v>
      </c>
      <c r="D203" s="135">
        <v>131.30000000000001</v>
      </c>
      <c r="E203" s="135">
        <v>82.4</v>
      </c>
      <c r="F203" s="135">
        <f>100*933/1132</f>
        <v>82.420494699646639</v>
      </c>
      <c r="I203" s="130"/>
    </row>
    <row r="204" spans="1:20" s="57" customFormat="1" ht="12.75" customHeight="1">
      <c r="A204" s="12"/>
      <c r="B204" s="58">
        <v>1981</v>
      </c>
      <c r="C204" s="135">
        <v>160.03</v>
      </c>
      <c r="D204" s="135">
        <v>160.12</v>
      </c>
      <c r="E204" s="134" t="s">
        <v>210</v>
      </c>
      <c r="F204" s="134" t="s">
        <v>210</v>
      </c>
      <c r="I204" s="130"/>
    </row>
    <row r="205" spans="1:20" s="57" customFormat="1" ht="12.75" customHeight="1">
      <c r="A205" s="12"/>
      <c r="B205" s="58">
        <v>1982</v>
      </c>
      <c r="C205" s="135">
        <v>171.11</v>
      </c>
      <c r="D205" s="135">
        <v>171.14</v>
      </c>
      <c r="E205" s="135">
        <v>100</v>
      </c>
      <c r="F205" s="135">
        <v>100</v>
      </c>
      <c r="I205" s="130"/>
    </row>
    <row r="206" spans="1:20" s="57" customFormat="1" ht="12.75" customHeight="1">
      <c r="A206" s="12"/>
      <c r="B206" s="58">
        <v>1983</v>
      </c>
      <c r="C206" s="135">
        <v>181.97</v>
      </c>
      <c r="D206" s="135">
        <v>181.86</v>
      </c>
      <c r="E206" s="136" t="s">
        <v>210</v>
      </c>
      <c r="F206" s="136" t="s">
        <v>210</v>
      </c>
      <c r="I206" s="48"/>
    </row>
    <row r="207" spans="1:20" s="57" customFormat="1" ht="15" customHeight="1">
      <c r="B207" s="123" t="s">
        <v>23</v>
      </c>
      <c r="C207" s="28" t="s">
        <v>227</v>
      </c>
      <c r="D207" s="30"/>
      <c r="E207" s="28" t="s">
        <v>228</v>
      </c>
      <c r="F207" s="30"/>
      <c r="I207" s="48"/>
      <c r="J207" s="130"/>
      <c r="K207" s="130"/>
      <c r="L207" s="130"/>
    </row>
    <row r="208" spans="1:20" s="89" customFormat="1" ht="24.75" customHeight="1">
      <c r="B208" s="39" t="str">
        <f>E207</f>
        <v>[P5b]</v>
      </c>
      <c r="C208" s="88" t="s">
        <v>229</v>
      </c>
      <c r="D208" s="88"/>
      <c r="E208" s="88"/>
      <c r="F208" s="88"/>
      <c r="G208" s="88"/>
      <c r="H208" s="88"/>
      <c r="I208" s="88"/>
      <c r="J208" s="88"/>
      <c r="K208" s="88"/>
      <c r="L208" s="88"/>
      <c r="M208" s="88"/>
      <c r="N208" s="88"/>
      <c r="O208" s="88"/>
      <c r="P208" s="88"/>
      <c r="Q208" s="88"/>
      <c r="R208" s="88"/>
      <c r="S208" s="88"/>
      <c r="T208" s="124"/>
    </row>
    <row r="209" spans="1:20" s="89" customFormat="1" ht="18" customHeight="1">
      <c r="B209" s="39" t="str">
        <f>C207</f>
        <v>[P5a]</v>
      </c>
      <c r="C209" s="88" t="s">
        <v>230</v>
      </c>
      <c r="D209" s="88"/>
      <c r="E209" s="88"/>
      <c r="F209" s="88"/>
      <c r="G209" s="88"/>
      <c r="H209" s="88"/>
      <c r="I209" s="88"/>
      <c r="J209" s="88"/>
      <c r="K209" s="88"/>
      <c r="L209" s="88"/>
      <c r="M209" s="88"/>
      <c r="N209" s="88"/>
      <c r="O209" s="88"/>
      <c r="P209" s="88"/>
      <c r="Q209" s="88"/>
      <c r="R209" s="88"/>
      <c r="S209" s="88"/>
      <c r="T209" s="124"/>
    </row>
    <row r="210" spans="1:20" s="38" customFormat="1" ht="19.5" customHeight="1">
      <c r="A210" s="44" t="s">
        <v>231</v>
      </c>
      <c r="B210" s="67" t="s">
        <v>222</v>
      </c>
      <c r="C210" s="67"/>
      <c r="D210" s="67"/>
      <c r="E210" s="67"/>
      <c r="F210" s="67"/>
      <c r="G210" s="67"/>
      <c r="H210" s="67"/>
      <c r="I210" s="67"/>
      <c r="J210" s="67"/>
      <c r="K210" s="67"/>
      <c r="L210" s="67"/>
      <c r="M210" s="67"/>
      <c r="N210" s="67"/>
      <c r="O210" s="67"/>
      <c r="P210" s="67"/>
      <c r="Q210" s="67"/>
      <c r="R210" s="67"/>
      <c r="S210" s="67"/>
      <c r="T210" s="113"/>
    </row>
    <row r="211" spans="1:20" s="49" customFormat="1" ht="15" customHeight="1">
      <c r="A211" s="116"/>
      <c r="B211" s="79" t="s">
        <v>94</v>
      </c>
      <c r="C211" s="28" t="s">
        <v>153</v>
      </c>
      <c r="D211" s="30"/>
      <c r="E211" s="15" t="s">
        <v>232</v>
      </c>
      <c r="F211" s="137"/>
      <c r="G211" s="130"/>
      <c r="H211" s="130"/>
      <c r="I211" s="130"/>
      <c r="J211" s="130"/>
      <c r="K211" s="130"/>
      <c r="L211" s="130"/>
      <c r="M211" s="93"/>
      <c r="N211" s="48"/>
      <c r="O211" s="48"/>
      <c r="P211" s="48"/>
      <c r="Q211" s="48"/>
      <c r="R211" s="48"/>
      <c r="S211" s="48"/>
      <c r="T211" s="48"/>
    </row>
    <row r="212" spans="1:20" s="49" customFormat="1" ht="32.25" customHeight="1">
      <c r="A212" s="12"/>
      <c r="B212" s="50"/>
      <c r="C212" s="81" t="s">
        <v>233</v>
      </c>
      <c r="D212" s="81" t="s">
        <v>234</v>
      </c>
      <c r="E212" s="9"/>
      <c r="F212" s="137"/>
      <c r="G212" s="130"/>
      <c r="H212" s="130"/>
      <c r="I212" s="130"/>
      <c r="J212" s="48"/>
      <c r="K212" s="48"/>
      <c r="L212" s="48"/>
      <c r="M212" s="48"/>
      <c r="N212" s="48"/>
      <c r="O212" s="48"/>
      <c r="P212" s="48"/>
      <c r="Q212" s="48"/>
      <c r="R212" s="48"/>
      <c r="T212" s="48"/>
    </row>
    <row r="213" spans="1:20" s="49" customFormat="1" ht="12.75" customHeight="1">
      <c r="A213" s="12"/>
      <c r="B213" s="58">
        <v>1960</v>
      </c>
      <c r="C213" s="55" t="s">
        <v>65</v>
      </c>
      <c r="D213" s="138">
        <f>D214*E198/E199</f>
        <v>6.9024403232625469</v>
      </c>
      <c r="E213" s="139">
        <f>E214*F198/F199</f>
        <v>7.7732049824242537</v>
      </c>
      <c r="G213" s="130"/>
      <c r="H213" s="130"/>
      <c r="I213" s="130"/>
      <c r="J213" s="48"/>
      <c r="K213" s="48"/>
      <c r="L213" s="48"/>
      <c r="M213" s="48"/>
      <c r="N213" s="48"/>
      <c r="O213" s="48"/>
      <c r="P213" s="48"/>
      <c r="Q213" s="48"/>
      <c r="R213" s="48"/>
      <c r="T213" s="48"/>
    </row>
    <row r="214" spans="1:20" s="49" customFormat="1" ht="12.75" customHeight="1">
      <c r="A214" s="12"/>
      <c r="B214" s="58">
        <v>1965</v>
      </c>
      <c r="C214" s="55" t="s">
        <v>65</v>
      </c>
      <c r="D214" s="138">
        <f t="shared" ref="D214:E216" si="30">D215*C199/C200</f>
        <v>10.106214511041012</v>
      </c>
      <c r="E214" s="139">
        <f t="shared" si="30"/>
        <v>11.336458492003045</v>
      </c>
      <c r="G214" s="130"/>
      <c r="H214" s="130"/>
      <c r="I214" s="130"/>
      <c r="J214" s="48"/>
      <c r="K214" s="48"/>
      <c r="L214" s="48"/>
      <c r="M214" s="48"/>
      <c r="N214" s="48"/>
      <c r="O214" s="48"/>
      <c r="P214" s="48"/>
      <c r="Q214" s="48"/>
      <c r="R214" s="48"/>
      <c r="T214" s="48"/>
    </row>
    <row r="215" spans="1:20" s="49" customFormat="1" ht="12.75" customHeight="1">
      <c r="A215" s="12"/>
      <c r="B215" s="58">
        <v>1970</v>
      </c>
      <c r="C215" s="55" t="s">
        <v>65</v>
      </c>
      <c r="D215" s="138">
        <f t="shared" si="30"/>
        <v>13.336372239747636</v>
      </c>
      <c r="E215" s="139">
        <f t="shared" si="30"/>
        <v>14.993853769992381</v>
      </c>
      <c r="G215" s="130"/>
      <c r="H215" s="130"/>
      <c r="I215" s="130"/>
      <c r="J215" s="48"/>
      <c r="K215" s="48"/>
      <c r="L215" s="48"/>
      <c r="M215" s="48"/>
      <c r="N215" s="48"/>
      <c r="O215" s="48"/>
      <c r="P215" s="48"/>
      <c r="Q215" s="48"/>
      <c r="R215" s="48"/>
      <c r="T215" s="48"/>
    </row>
    <row r="216" spans="1:20" s="49" customFormat="1" ht="12.75" customHeight="1">
      <c r="A216" s="12"/>
      <c r="B216" s="58">
        <v>1975</v>
      </c>
      <c r="C216" s="55" t="s">
        <v>65</v>
      </c>
      <c r="D216" s="138">
        <f t="shared" si="30"/>
        <v>18.532050473186121</v>
      </c>
      <c r="E216" s="139">
        <f t="shared" si="30"/>
        <v>20.809992383853768</v>
      </c>
      <c r="G216" s="130"/>
      <c r="H216" s="130"/>
      <c r="I216" s="130"/>
      <c r="J216" s="48"/>
      <c r="K216" s="48"/>
      <c r="L216" s="48"/>
      <c r="M216" s="48"/>
      <c r="N216" s="48"/>
      <c r="O216" s="48"/>
      <c r="P216" s="48"/>
      <c r="Q216" s="48"/>
      <c r="R216" s="48"/>
      <c r="T216" s="48"/>
    </row>
    <row r="217" spans="1:20" s="49" customFormat="1" ht="12.75" customHeight="1">
      <c r="A217" s="12"/>
      <c r="B217" s="58">
        <v>1977</v>
      </c>
      <c r="C217" s="54">
        <v>26.22</v>
      </c>
      <c r="D217" s="138">
        <f>$C217*100/$C$245</f>
        <v>21.766561514195583</v>
      </c>
      <c r="E217" s="139">
        <f>E220*D202/D203</f>
        <v>24.447829398324444</v>
      </c>
      <c r="G217" s="130"/>
      <c r="H217" s="130"/>
      <c r="I217" s="130"/>
      <c r="J217" s="48"/>
      <c r="K217" s="48"/>
      <c r="L217" s="48"/>
      <c r="M217" s="48"/>
      <c r="N217" s="48"/>
      <c r="O217" s="48"/>
      <c r="P217" s="48"/>
      <c r="Q217" s="48"/>
      <c r="R217" s="48"/>
      <c r="T217" s="48"/>
    </row>
    <row r="218" spans="1:20" s="49" customFormat="1" ht="12.75" customHeight="1">
      <c r="A218" s="12"/>
      <c r="B218" s="58">
        <v>1978</v>
      </c>
      <c r="C218" s="54">
        <v>28.38</v>
      </c>
      <c r="D218" s="138">
        <f>$C218*100/$C$245</f>
        <v>23.559687863191101</v>
      </c>
      <c r="E218" s="139">
        <f>E219*D218/D219</f>
        <v>26.629083817198396</v>
      </c>
      <c r="G218" s="130"/>
      <c r="H218" s="130"/>
      <c r="I218" s="130"/>
      <c r="J218" s="48"/>
      <c r="K218" s="48"/>
      <c r="L218" s="48"/>
      <c r="M218" s="48"/>
      <c r="N218" s="48"/>
      <c r="O218" s="48"/>
      <c r="P218" s="48"/>
      <c r="Q218" s="48"/>
      <c r="R218" s="48"/>
      <c r="T218" s="48"/>
    </row>
    <row r="219" spans="1:20" s="49" customFormat="1" ht="12.75" customHeight="1">
      <c r="A219" s="12"/>
      <c r="B219" s="58">
        <v>1979</v>
      </c>
      <c r="C219" s="54">
        <v>30.99</v>
      </c>
      <c r="D219" s="138">
        <f>$C219*100/$C$245</f>
        <v>25.726382201560686</v>
      </c>
      <c r="E219" s="139">
        <f>E220*D219/D220</f>
        <v>29.078058755989371</v>
      </c>
      <c r="G219" s="130"/>
      <c r="H219" s="130"/>
      <c r="I219" s="130"/>
      <c r="J219" s="48"/>
      <c r="K219" s="48"/>
      <c r="L219" s="48"/>
      <c r="M219" s="48"/>
      <c r="N219" s="48"/>
      <c r="O219" s="48"/>
      <c r="P219" s="48"/>
      <c r="Q219" s="48"/>
      <c r="R219" s="48"/>
      <c r="T219" s="48"/>
    </row>
    <row r="220" spans="1:20" s="49" customFormat="1" ht="12.75" customHeight="1">
      <c r="A220" s="12"/>
      <c r="B220" s="58">
        <v>1980</v>
      </c>
      <c r="C220" s="54">
        <v>34.54</v>
      </c>
      <c r="D220" s="140">
        <v>28.4</v>
      </c>
      <c r="E220" s="130">
        <v>32.1</v>
      </c>
      <c r="G220" s="130"/>
      <c r="H220" s="130"/>
      <c r="I220" s="130"/>
      <c r="J220" s="48"/>
      <c r="K220" s="48"/>
      <c r="L220" s="48"/>
      <c r="M220" s="48"/>
      <c r="N220" s="48"/>
      <c r="O220" s="48"/>
      <c r="P220" s="48"/>
      <c r="Q220" s="48"/>
      <c r="R220" s="48"/>
      <c r="T220" s="48"/>
    </row>
    <row r="221" spans="1:20" s="49" customFormat="1" ht="12.75" customHeight="1">
      <c r="A221" s="12"/>
      <c r="B221" s="58">
        <v>1981</v>
      </c>
      <c r="C221" s="54">
        <v>38.74</v>
      </c>
      <c r="D221" s="138">
        <f t="shared" ref="D221:D229" si="31">$C221*100/$C$245</f>
        <v>32.160053129669599</v>
      </c>
      <c r="E221" s="139">
        <f>E222*D204/D205</f>
        <v>36.642674468884067</v>
      </c>
      <c r="H221" s="130"/>
      <c r="I221" s="130"/>
      <c r="J221" s="48"/>
      <c r="K221" s="48"/>
      <c r="L221" s="48"/>
      <c r="M221" s="48"/>
      <c r="N221" s="48"/>
      <c r="O221" s="48"/>
      <c r="P221" s="48"/>
      <c r="Q221" s="48"/>
      <c r="R221" s="48"/>
      <c r="T221" s="48"/>
    </row>
    <row r="222" spans="1:20" s="49" customFormat="1" ht="12.75" customHeight="1">
      <c r="A222" s="12"/>
      <c r="B222" s="58">
        <v>1982</v>
      </c>
      <c r="C222" s="54">
        <v>42.91</v>
      </c>
      <c r="D222" s="138">
        <f t="shared" si="31"/>
        <v>35.621783164535948</v>
      </c>
      <c r="E222" s="139">
        <f>E223*D205/D206</f>
        <v>39.164547268328874</v>
      </c>
      <c r="H222" s="130"/>
      <c r="I222" s="130"/>
      <c r="J222" s="48"/>
      <c r="K222" s="48"/>
      <c r="L222" s="48"/>
      <c r="M222" s="48"/>
      <c r="N222" s="48"/>
      <c r="O222" s="48"/>
      <c r="P222" s="48"/>
      <c r="Q222" s="48"/>
      <c r="R222" s="48"/>
      <c r="T222" s="48"/>
    </row>
    <row r="223" spans="1:20" s="49" customFormat="1" ht="12.75" customHeight="1">
      <c r="A223" s="12"/>
      <c r="B223" s="58">
        <v>1983</v>
      </c>
      <c r="C223" s="54">
        <v>46.1</v>
      </c>
      <c r="D223" s="138">
        <f t="shared" si="31"/>
        <v>38.269965133654324</v>
      </c>
      <c r="E223" s="139">
        <f t="shared" ref="E223:E229" si="32">E224*D223/D224</f>
        <v>41.617766543287892</v>
      </c>
      <c r="G223" s="130"/>
      <c r="H223" s="130"/>
      <c r="I223" s="130"/>
      <c r="J223" s="48"/>
      <c r="K223" s="48"/>
      <c r="L223" s="48"/>
      <c r="M223" s="48"/>
      <c r="N223" s="48"/>
      <c r="O223" s="48"/>
      <c r="P223" s="48"/>
      <c r="Q223" s="48"/>
      <c r="R223" s="48"/>
      <c r="T223" s="48"/>
    </row>
    <row r="224" spans="1:20" s="49" customFormat="1" ht="12.75" customHeight="1">
      <c r="A224" s="12"/>
      <c r="B224" s="58">
        <v>1984</v>
      </c>
      <c r="C224" s="54">
        <v>49.49</v>
      </c>
      <c r="D224" s="138">
        <f t="shared" si="31"/>
        <v>41.084177320272289</v>
      </c>
      <c r="E224" s="139">
        <f t="shared" si="32"/>
        <v>44.67816195720863</v>
      </c>
      <c r="G224" s="130"/>
      <c r="H224" s="130"/>
      <c r="I224" s="130"/>
      <c r="J224" s="48"/>
      <c r="K224" s="48"/>
      <c r="L224" s="48"/>
      <c r="M224" s="48"/>
      <c r="N224" s="48"/>
      <c r="O224" s="48"/>
      <c r="P224" s="48"/>
      <c r="Q224" s="48"/>
      <c r="R224" s="48"/>
      <c r="T224" s="48"/>
    </row>
    <row r="225" spans="1:20" s="49" customFormat="1" ht="12.75" customHeight="1">
      <c r="A225" s="12"/>
      <c r="B225" s="58">
        <v>1985</v>
      </c>
      <c r="C225" s="54">
        <v>52.86</v>
      </c>
      <c r="D225" s="138">
        <f t="shared" si="31"/>
        <v>43.881786485140296</v>
      </c>
      <c r="E225" s="139">
        <f t="shared" si="32"/>
        <v>47.720501940958748</v>
      </c>
      <c r="G225" s="130"/>
      <c r="H225" s="130"/>
      <c r="I225" s="130"/>
      <c r="J225" s="48"/>
      <c r="K225" s="48"/>
      <c r="L225" s="48"/>
      <c r="M225" s="48"/>
      <c r="N225" s="48"/>
      <c r="O225" s="48"/>
      <c r="P225" s="48"/>
      <c r="Q225" s="48"/>
      <c r="R225" s="48"/>
      <c r="T225" s="48"/>
    </row>
    <row r="226" spans="1:20" s="49" customFormat="1" ht="12.75" customHeight="1">
      <c r="A226" s="12"/>
      <c r="B226" s="58">
        <v>1986</v>
      </c>
      <c r="C226" s="54">
        <v>55.49</v>
      </c>
      <c r="D226" s="138">
        <f t="shared" si="31"/>
        <v>46.065083845259842</v>
      </c>
      <c r="E226" s="139">
        <f t="shared" si="32"/>
        <v>50.094791008395781</v>
      </c>
      <c r="G226" s="130"/>
      <c r="H226" s="130"/>
      <c r="I226" s="130"/>
      <c r="J226" s="48"/>
      <c r="K226" s="48"/>
      <c r="L226" s="48"/>
      <c r="M226" s="48"/>
      <c r="N226" s="48"/>
      <c r="O226" s="48"/>
      <c r="P226" s="48"/>
      <c r="Q226" s="48"/>
      <c r="R226" s="48"/>
      <c r="T226" s="48"/>
    </row>
    <row r="227" spans="1:20" s="49" customFormat="1" ht="12.75" customHeight="1">
      <c r="A227" s="12"/>
      <c r="B227" s="58">
        <v>1987</v>
      </c>
      <c r="C227" s="54">
        <v>58.24</v>
      </c>
      <c r="D227" s="138">
        <f t="shared" si="31"/>
        <v>48.34799933587913</v>
      </c>
      <c r="E227" s="139">
        <f t="shared" si="32"/>
        <v>52.577412656856552</v>
      </c>
      <c r="G227" s="130"/>
      <c r="H227" s="130"/>
      <c r="I227" s="130"/>
      <c r="J227" s="48"/>
      <c r="K227" s="48"/>
      <c r="L227" s="48"/>
      <c r="M227" s="48"/>
      <c r="N227" s="48"/>
      <c r="O227" s="48"/>
      <c r="P227" s="48"/>
      <c r="Q227" s="48"/>
      <c r="R227" s="48"/>
      <c r="T227" s="48"/>
    </row>
    <row r="228" spans="1:20" s="49" customFormat="1" ht="12.75" customHeight="1">
      <c r="A228" s="12"/>
      <c r="B228" s="58">
        <v>1988</v>
      </c>
      <c r="C228" s="54">
        <v>61.79</v>
      </c>
      <c r="D228" s="138">
        <f t="shared" si="31"/>
        <v>51.295035696496768</v>
      </c>
      <c r="E228" s="139">
        <f t="shared" si="32"/>
        <v>55.782251512142288</v>
      </c>
      <c r="G228" s="130"/>
      <c r="H228" s="130"/>
      <c r="I228" s="130"/>
      <c r="J228" s="48"/>
      <c r="K228" s="48"/>
      <c r="L228" s="48"/>
      <c r="M228" s="48"/>
      <c r="N228" s="48"/>
      <c r="O228" s="48"/>
      <c r="P228" s="48"/>
      <c r="Q228" s="48"/>
      <c r="R228" s="48"/>
      <c r="T228" s="48"/>
    </row>
    <row r="229" spans="1:20" s="49" customFormat="1" ht="12.75" customHeight="1">
      <c r="A229" s="12"/>
      <c r="B229" s="58">
        <v>1989</v>
      </c>
      <c r="C229" s="54">
        <v>66</v>
      </c>
      <c r="D229" s="138">
        <f t="shared" si="31"/>
        <v>54.789971774863027</v>
      </c>
      <c r="E229" s="139">
        <f t="shared" si="32"/>
        <v>59.582919563058596</v>
      </c>
      <c r="G229" s="130"/>
      <c r="H229" s="130"/>
      <c r="I229" s="130"/>
      <c r="J229" s="48"/>
      <c r="K229" s="48"/>
      <c r="L229" s="48"/>
      <c r="M229" s="48"/>
      <c r="N229" s="48"/>
      <c r="O229" s="48"/>
      <c r="P229" s="48"/>
      <c r="Q229" s="48"/>
      <c r="R229" s="48"/>
      <c r="T229" s="48"/>
    </row>
    <row r="230" spans="1:20" s="49" customFormat="1" ht="12.75" customHeight="1">
      <c r="A230" s="12"/>
      <c r="B230" s="58">
        <v>1990</v>
      </c>
      <c r="C230" s="54">
        <v>70.430000000000007</v>
      </c>
      <c r="D230" s="140">
        <v>58.3</v>
      </c>
      <c r="E230" s="130">
        <v>63.4</v>
      </c>
      <c r="G230" s="130"/>
      <c r="H230" s="130"/>
      <c r="I230" s="130"/>
      <c r="J230" s="48"/>
      <c r="K230" s="48"/>
      <c r="L230" s="48"/>
      <c r="M230" s="48"/>
      <c r="N230" s="48"/>
      <c r="O230" s="48"/>
      <c r="P230" s="48"/>
      <c r="Q230" s="48"/>
      <c r="R230" s="48"/>
      <c r="T230" s="48"/>
    </row>
    <row r="231" spans="1:20" s="49" customFormat="1" ht="12.75" customHeight="1">
      <c r="A231" s="12"/>
      <c r="B231" s="58">
        <v>1991</v>
      </c>
      <c r="C231" s="54">
        <v>74.41</v>
      </c>
      <c r="D231" s="138">
        <f t="shared" ref="D231:D239" si="33">$C231*100/$C$245</f>
        <v>61.771542420720571</v>
      </c>
      <c r="E231" s="139">
        <f>E232*D231/D232</f>
        <v>63.977614252517441</v>
      </c>
      <c r="G231" s="130"/>
      <c r="H231" s="130"/>
      <c r="I231" s="130"/>
      <c r="J231" s="48"/>
      <c r="K231" s="48"/>
      <c r="L231" s="48"/>
      <c r="M231" s="48"/>
      <c r="N231" s="48"/>
      <c r="O231" s="48"/>
      <c r="P231" s="48"/>
      <c r="Q231" s="48"/>
      <c r="R231" s="48"/>
      <c r="T231" s="48"/>
    </row>
    <row r="232" spans="1:20" s="49" customFormat="1" ht="12.75" customHeight="1">
      <c r="A232" s="12"/>
      <c r="B232" s="58">
        <v>1992</v>
      </c>
      <c r="C232" s="54">
        <v>78.28</v>
      </c>
      <c r="D232" s="138">
        <f t="shared" si="33"/>
        <v>64.98422712933754</v>
      </c>
      <c r="E232" s="139">
        <f>E233*D232/D233</f>
        <v>67.305034856700246</v>
      </c>
      <c r="G232" s="130"/>
      <c r="H232" s="130"/>
      <c r="I232" s="130"/>
      <c r="J232" s="48"/>
      <c r="K232" s="48"/>
      <c r="L232" s="48"/>
      <c r="M232" s="48"/>
      <c r="N232" s="48"/>
      <c r="O232" s="48"/>
      <c r="P232" s="48"/>
      <c r="Q232" s="48"/>
      <c r="R232" s="48"/>
      <c r="T232" s="48"/>
    </row>
    <row r="233" spans="1:20" s="49" customFormat="1" ht="12.75" customHeight="1">
      <c r="A233" s="12"/>
      <c r="B233" s="58">
        <v>1993</v>
      </c>
      <c r="C233" s="54">
        <v>81.87</v>
      </c>
      <c r="D233" s="138">
        <f t="shared" si="33"/>
        <v>67.964469533455087</v>
      </c>
      <c r="E233" s="139">
        <f>E234*D233/D234</f>
        <v>70.391711851278089</v>
      </c>
      <c r="G233" s="130"/>
      <c r="H233" s="130"/>
      <c r="I233" s="130"/>
      <c r="J233" s="48"/>
      <c r="K233" s="48"/>
      <c r="L233" s="48"/>
      <c r="M233" s="48"/>
      <c r="N233" s="48"/>
      <c r="O233" s="48"/>
      <c r="P233" s="48"/>
      <c r="Q233" s="48"/>
      <c r="R233" s="48"/>
      <c r="T233" s="48"/>
    </row>
    <row r="234" spans="1:20" s="49" customFormat="1" ht="12.75" customHeight="1">
      <c r="A234" s="12"/>
      <c r="B234" s="58">
        <v>1994</v>
      </c>
      <c r="C234" s="54">
        <v>84.9</v>
      </c>
      <c r="D234" s="138">
        <f t="shared" si="33"/>
        <v>70.479827328573805</v>
      </c>
      <c r="E234" s="139">
        <f>E235*D234/D235</f>
        <v>72.996901626646022</v>
      </c>
      <c r="G234" s="130"/>
      <c r="H234" s="130"/>
      <c r="I234" s="130"/>
      <c r="J234" s="48"/>
      <c r="K234" s="48"/>
      <c r="L234" s="48"/>
      <c r="M234" s="48"/>
      <c r="N234" s="48"/>
      <c r="O234" s="48"/>
      <c r="P234" s="48"/>
      <c r="Q234" s="48"/>
      <c r="R234" s="48"/>
      <c r="T234" s="48"/>
    </row>
    <row r="235" spans="1:20" s="49" customFormat="1" ht="12.75" customHeight="1">
      <c r="A235" s="12"/>
      <c r="B235" s="58">
        <v>1995</v>
      </c>
      <c r="C235" s="54">
        <v>87.84</v>
      </c>
      <c r="D235" s="138">
        <f t="shared" si="33"/>
        <v>72.920471525817703</v>
      </c>
      <c r="E235" s="139">
        <f>E236*D235/D236</f>
        <v>75.524709527498075</v>
      </c>
      <c r="G235" s="130"/>
      <c r="H235" s="130"/>
      <c r="I235" s="130"/>
      <c r="J235" s="48"/>
      <c r="K235" s="48"/>
      <c r="L235" s="48"/>
      <c r="M235" s="48"/>
      <c r="N235" s="48"/>
      <c r="O235" s="48"/>
      <c r="P235" s="48"/>
      <c r="Q235" s="48"/>
      <c r="R235" s="48"/>
      <c r="T235" s="48"/>
    </row>
    <row r="236" spans="1:20" s="49" customFormat="1" ht="12.75" customHeight="1">
      <c r="A236" s="12"/>
      <c r="B236" s="58">
        <v>1996</v>
      </c>
      <c r="C236" s="54">
        <v>90.37</v>
      </c>
      <c r="D236" s="138">
        <f t="shared" si="33"/>
        <v>75.020753777187451</v>
      </c>
      <c r="E236" s="130">
        <v>77.7</v>
      </c>
      <c r="G236" s="130"/>
      <c r="H236" s="130"/>
      <c r="I236" s="130"/>
      <c r="J236" s="48"/>
      <c r="K236" s="48"/>
      <c r="L236" s="48"/>
      <c r="M236" s="48"/>
      <c r="N236" s="48"/>
      <c r="O236" s="48"/>
      <c r="P236" s="48"/>
      <c r="Q236" s="48"/>
      <c r="R236" s="48"/>
      <c r="T236" s="48"/>
    </row>
    <row r="237" spans="1:20" s="49" customFormat="1" ht="12.75" customHeight="1">
      <c r="A237" s="12"/>
      <c r="B237" s="58">
        <v>1997</v>
      </c>
      <c r="C237" s="54">
        <v>92.26</v>
      </c>
      <c r="D237" s="138">
        <f t="shared" si="33"/>
        <v>76.589739332558523</v>
      </c>
      <c r="E237" s="130">
        <v>79.099999999999994</v>
      </c>
      <c r="G237" s="130"/>
      <c r="H237" s="130"/>
      <c r="I237" s="130"/>
      <c r="J237" s="48"/>
      <c r="K237" s="48"/>
      <c r="L237" s="48"/>
      <c r="M237" s="48"/>
      <c r="N237" s="48"/>
      <c r="O237" s="48"/>
      <c r="P237" s="48"/>
      <c r="Q237" s="48"/>
      <c r="R237" s="48"/>
      <c r="T237" s="48"/>
    </row>
    <row r="238" spans="1:20" s="49" customFormat="1" ht="12.75" customHeight="1">
      <c r="A238" s="12"/>
      <c r="B238" s="58">
        <v>1998</v>
      </c>
      <c r="C238" s="54">
        <v>94.27</v>
      </c>
      <c r="D238" s="138">
        <f t="shared" si="33"/>
        <v>78.258343018429358</v>
      </c>
      <c r="E238" s="130">
        <v>80.7</v>
      </c>
      <c r="G238" s="130"/>
      <c r="H238" s="130"/>
      <c r="I238" s="130"/>
      <c r="J238" s="48"/>
      <c r="K238" s="48"/>
      <c r="L238" s="48"/>
      <c r="M238" s="48"/>
      <c r="N238" s="48"/>
      <c r="O238" s="48"/>
      <c r="P238" s="48"/>
      <c r="Q238" s="48"/>
      <c r="R238" s="48"/>
      <c r="T238" s="48"/>
    </row>
    <row r="239" spans="1:20" s="49" customFormat="1" ht="12.75" customHeight="1">
      <c r="A239" s="12"/>
      <c r="B239" s="58">
        <v>1999</v>
      </c>
      <c r="C239" s="54">
        <v>96.8</v>
      </c>
      <c r="D239" s="138">
        <f t="shared" si="33"/>
        <v>80.358625269799106</v>
      </c>
      <c r="E239" s="130">
        <v>82.7</v>
      </c>
      <c r="G239" s="130"/>
      <c r="H239" s="130"/>
      <c r="I239" s="130"/>
      <c r="J239" s="48"/>
      <c r="K239" s="48"/>
      <c r="L239" s="48"/>
      <c r="M239" s="48"/>
      <c r="N239" s="48"/>
      <c r="O239" s="48"/>
      <c r="P239" s="48"/>
      <c r="Q239" s="48"/>
      <c r="R239" s="48"/>
      <c r="T239" s="48"/>
    </row>
    <row r="240" spans="1:20" s="49" customFormat="1" ht="12.75" customHeight="1">
      <c r="A240" s="12"/>
      <c r="B240" s="58">
        <v>2000</v>
      </c>
      <c r="C240" s="54">
        <v>100</v>
      </c>
      <c r="D240" s="140">
        <v>83</v>
      </c>
      <c r="E240" s="130">
        <v>85.1</v>
      </c>
      <c r="G240" s="130"/>
      <c r="H240" s="130"/>
      <c r="I240" s="130"/>
      <c r="J240" s="48"/>
      <c r="K240" s="48"/>
      <c r="L240" s="48"/>
      <c r="M240" s="48"/>
      <c r="N240" s="48"/>
      <c r="O240" s="48"/>
      <c r="P240" s="48"/>
      <c r="Q240" s="48"/>
      <c r="R240" s="48"/>
      <c r="T240" s="48"/>
    </row>
    <row r="241" spans="1:20" s="49" customFormat="1" ht="12.75" customHeight="1">
      <c r="A241" s="12"/>
      <c r="B241" s="58">
        <v>2001</v>
      </c>
      <c r="C241" s="54">
        <v>103.77</v>
      </c>
      <c r="D241" s="138">
        <f>$C241*100/$C$245</f>
        <v>86.144778349659646</v>
      </c>
      <c r="E241" s="130">
        <v>88.3</v>
      </c>
      <c r="G241" s="130"/>
      <c r="H241" s="130"/>
      <c r="I241" s="130"/>
      <c r="J241" s="48"/>
      <c r="K241" s="48"/>
      <c r="L241" s="48"/>
      <c r="M241" s="48"/>
      <c r="N241" s="48"/>
      <c r="O241" s="48"/>
      <c r="P241" s="48"/>
      <c r="Q241" s="48"/>
      <c r="R241" s="48"/>
      <c r="T241" s="48"/>
    </row>
    <row r="242" spans="1:20" s="49" customFormat="1" ht="12.75" customHeight="1">
      <c r="A242" s="12"/>
      <c r="B242" s="58">
        <v>2002</v>
      </c>
      <c r="C242" s="54">
        <v>107.76</v>
      </c>
      <c r="D242" s="138">
        <f>$C242*100/$C$245</f>
        <v>89.457081188776357</v>
      </c>
      <c r="E242" s="141">
        <v>91</v>
      </c>
      <c r="G242" s="130"/>
      <c r="H242" s="130"/>
      <c r="I242" s="130"/>
      <c r="J242" s="48"/>
      <c r="K242" s="48"/>
      <c r="L242" s="48"/>
      <c r="M242" s="48"/>
      <c r="N242" s="48"/>
      <c r="O242" s="48"/>
      <c r="P242" s="48"/>
      <c r="Q242" s="48"/>
      <c r="R242" s="48"/>
      <c r="T242" s="48"/>
    </row>
    <row r="243" spans="1:20" s="49" customFormat="1" ht="12.75" customHeight="1">
      <c r="A243" s="12"/>
      <c r="B243" s="58">
        <v>2003</v>
      </c>
      <c r="C243" s="54">
        <v>111.75</v>
      </c>
      <c r="D243" s="138">
        <f>$C243*100/$C$245</f>
        <v>92.769384027893082</v>
      </c>
      <c r="E243" s="141">
        <v>93.7</v>
      </c>
      <c r="G243" s="130"/>
      <c r="H243" s="130"/>
      <c r="I243" s="130"/>
      <c r="J243" s="48"/>
      <c r="K243" s="48"/>
      <c r="L243" s="48"/>
      <c r="M243" s="48"/>
      <c r="N243" s="48"/>
      <c r="O243" s="48"/>
      <c r="P243" s="48"/>
      <c r="Q243" s="48"/>
      <c r="R243" s="48"/>
      <c r="T243" s="48"/>
    </row>
    <row r="244" spans="1:20" s="49" customFormat="1" ht="12.75" customHeight="1">
      <c r="A244" s="12"/>
      <c r="B244" s="58">
        <v>2004</v>
      </c>
      <c r="C244" s="54">
        <v>116.33</v>
      </c>
      <c r="D244" s="22">
        <v>96.6</v>
      </c>
      <c r="E244" s="141">
        <v>97</v>
      </c>
      <c r="G244" s="130"/>
      <c r="H244" s="130"/>
      <c r="I244" s="130"/>
      <c r="J244" s="48"/>
      <c r="K244" s="48"/>
      <c r="L244" s="48"/>
      <c r="M244" s="48"/>
      <c r="N244" s="48"/>
      <c r="O244" s="48"/>
      <c r="P244" s="48"/>
      <c r="Q244" s="48"/>
      <c r="R244" s="48"/>
      <c r="T244" s="48"/>
    </row>
    <row r="245" spans="1:20" s="49" customFormat="1" ht="12.75" customHeight="1">
      <c r="A245" s="12"/>
      <c r="B245" s="58">
        <v>2005</v>
      </c>
      <c r="C245" s="54">
        <v>120.46</v>
      </c>
      <c r="D245" s="22">
        <f>$C245*100/$C$245</f>
        <v>100</v>
      </c>
      <c r="E245" s="141">
        <v>100</v>
      </c>
      <c r="G245" s="130"/>
      <c r="H245" s="130"/>
      <c r="I245" s="130"/>
      <c r="J245" s="48"/>
      <c r="K245" s="48"/>
      <c r="L245" s="48"/>
      <c r="M245" s="48"/>
      <c r="N245" s="48"/>
      <c r="O245" s="48"/>
      <c r="P245" s="48"/>
      <c r="Q245" s="48"/>
      <c r="R245" s="48"/>
      <c r="T245" s="48"/>
    </row>
    <row r="246" spans="1:20" s="49" customFormat="1" ht="12.75" customHeight="1">
      <c r="A246" s="12"/>
      <c r="B246" s="58">
        <v>2006</v>
      </c>
      <c r="C246" s="54">
        <v>124.58</v>
      </c>
      <c r="D246" s="22">
        <v>103.4</v>
      </c>
      <c r="E246" s="130">
        <v>103.1</v>
      </c>
      <c r="G246" s="130"/>
      <c r="H246" s="130"/>
      <c r="I246" s="130"/>
      <c r="J246" s="48"/>
      <c r="K246" s="48"/>
      <c r="L246" s="48"/>
      <c r="M246" s="48"/>
      <c r="N246" s="48"/>
      <c r="O246" s="48"/>
      <c r="P246" s="48"/>
      <c r="Q246" s="48"/>
      <c r="R246" s="48"/>
      <c r="T246" s="48"/>
    </row>
    <row r="247" spans="1:20" s="49" customFormat="1" ht="12.75" customHeight="1">
      <c r="A247" s="12"/>
      <c r="B247" s="58">
        <v>2007</v>
      </c>
      <c r="C247" s="54">
        <v>128.79</v>
      </c>
      <c r="D247" s="22">
        <v>106.9</v>
      </c>
      <c r="E247" s="130">
        <v>106.5</v>
      </c>
      <c r="G247" s="130"/>
      <c r="H247" s="130"/>
      <c r="I247" s="130"/>
      <c r="J247" s="48"/>
      <c r="K247" s="48"/>
      <c r="L247" s="48"/>
      <c r="M247" s="48"/>
      <c r="N247" s="48"/>
      <c r="O247" s="48"/>
      <c r="P247" s="48"/>
      <c r="Q247" s="48"/>
      <c r="R247" s="48"/>
      <c r="T247" s="48"/>
    </row>
    <row r="248" spans="1:20" s="49" customFormat="1" ht="12.75" customHeight="1">
      <c r="A248" s="62"/>
      <c r="B248" s="58">
        <v>2008</v>
      </c>
      <c r="C248" s="55" t="s">
        <v>65</v>
      </c>
      <c r="D248" s="22">
        <v>110.2</v>
      </c>
      <c r="E248" s="130">
        <v>109.3</v>
      </c>
      <c r="G248" s="130"/>
      <c r="H248" s="130"/>
      <c r="I248" s="130"/>
      <c r="J248" s="48"/>
      <c r="K248" s="48"/>
      <c r="L248" s="48"/>
      <c r="M248" s="48"/>
      <c r="N248" s="48"/>
      <c r="O248" s="48"/>
      <c r="P248" s="48"/>
      <c r="Q248" s="48"/>
      <c r="R248" s="48"/>
      <c r="T248" s="48"/>
    </row>
    <row r="249" spans="1:20" s="49" customFormat="1" ht="12.75" customHeight="1">
      <c r="A249" s="62"/>
      <c r="B249" s="58">
        <v>2009</v>
      </c>
      <c r="C249" s="55" t="s">
        <v>65</v>
      </c>
      <c r="D249" s="55" t="s">
        <v>65</v>
      </c>
      <c r="E249" s="130">
        <v>112.3</v>
      </c>
      <c r="G249" s="130"/>
      <c r="H249" s="130"/>
      <c r="I249" s="130"/>
      <c r="J249" s="48"/>
      <c r="K249" s="48"/>
      <c r="L249" s="48"/>
      <c r="M249" s="48"/>
      <c r="N249" s="48"/>
      <c r="O249" s="48"/>
      <c r="P249" s="48"/>
      <c r="Q249" s="48"/>
      <c r="R249" s="48"/>
      <c r="T249" s="48"/>
    </row>
    <row r="250" spans="1:20" s="49" customFormat="1" ht="12.75" customHeight="1">
      <c r="A250" s="62"/>
      <c r="B250" s="58">
        <v>2010</v>
      </c>
      <c r="C250" s="55" t="s">
        <v>65</v>
      </c>
      <c r="D250" s="55" t="s">
        <v>65</v>
      </c>
      <c r="E250" s="130">
        <v>115.4</v>
      </c>
      <c r="G250" s="130"/>
      <c r="H250" s="130"/>
      <c r="I250" s="130"/>
      <c r="J250" s="48"/>
      <c r="K250" s="48"/>
      <c r="L250" s="48"/>
      <c r="M250" s="48"/>
      <c r="N250" s="48"/>
      <c r="O250" s="48"/>
      <c r="P250" s="48"/>
      <c r="Q250" s="48"/>
      <c r="R250" s="48"/>
      <c r="T250" s="48"/>
    </row>
    <row r="251" spans="1:20" s="49" customFormat="1" ht="12.75" customHeight="1">
      <c r="A251" s="62"/>
      <c r="B251" s="58">
        <v>2011</v>
      </c>
      <c r="C251" s="55" t="s">
        <v>65</v>
      </c>
      <c r="D251" s="55" t="s">
        <v>65</v>
      </c>
      <c r="E251" s="130">
        <v>117.8</v>
      </c>
      <c r="G251" s="130"/>
      <c r="H251" s="130"/>
      <c r="I251" s="130"/>
      <c r="J251" s="48"/>
      <c r="K251" s="48"/>
      <c r="L251" s="48"/>
      <c r="M251" s="48"/>
      <c r="N251" s="48"/>
      <c r="O251" s="48"/>
      <c r="P251" s="48"/>
      <c r="Q251" s="48"/>
      <c r="R251" s="48"/>
      <c r="T251" s="48"/>
    </row>
    <row r="252" spans="1:20" s="57" customFormat="1" ht="15" customHeight="1">
      <c r="B252" s="123" t="s">
        <v>23</v>
      </c>
      <c r="C252" s="27" t="s">
        <v>235</v>
      </c>
      <c r="D252" s="27" t="s">
        <v>236</v>
      </c>
      <c r="E252" s="27" t="s">
        <v>237</v>
      </c>
      <c r="G252" s="62"/>
      <c r="H252" s="130"/>
      <c r="I252" s="130"/>
      <c r="J252" s="130"/>
      <c r="K252" s="130"/>
      <c r="L252" s="130"/>
    </row>
    <row r="253" spans="1:20" s="89" customFormat="1" ht="18" customHeight="1">
      <c r="B253" s="39" t="str">
        <f>C252</f>
        <v>[P6a]</v>
      </c>
      <c r="C253" s="88" t="s">
        <v>238</v>
      </c>
      <c r="D253" s="88"/>
      <c r="E253" s="88"/>
      <c r="F253" s="88"/>
      <c r="G253" s="88"/>
      <c r="H253" s="88"/>
      <c r="I253" s="88"/>
      <c r="J253" s="88"/>
      <c r="K253" s="88"/>
      <c r="L253" s="88"/>
      <c r="M253" s="88"/>
      <c r="N253" s="88"/>
      <c r="O253" s="88"/>
      <c r="P253" s="88"/>
      <c r="Q253" s="88"/>
      <c r="R253" s="88"/>
      <c r="S253" s="88"/>
      <c r="T253" s="124"/>
    </row>
    <row r="254" spans="1:20" s="89" customFormat="1" ht="36" customHeight="1">
      <c r="B254" s="39" t="str">
        <f>D252</f>
        <v>[P6b]</v>
      </c>
      <c r="C254" s="88" t="s">
        <v>239</v>
      </c>
      <c r="D254" s="88"/>
      <c r="E254" s="88"/>
      <c r="F254" s="88"/>
      <c r="G254" s="88"/>
      <c r="H254" s="88"/>
      <c r="I254" s="88"/>
      <c r="J254" s="88"/>
      <c r="K254" s="88"/>
      <c r="L254" s="88"/>
      <c r="M254" s="88"/>
      <c r="N254" s="88"/>
      <c r="O254" s="88"/>
      <c r="P254" s="88"/>
      <c r="Q254" s="88"/>
      <c r="R254" s="88"/>
      <c r="S254" s="88"/>
      <c r="T254" s="124"/>
    </row>
    <row r="255" spans="1:20" s="89" customFormat="1" ht="48" customHeight="1">
      <c r="B255" s="39" t="str">
        <f>E252</f>
        <v>[P6c]</v>
      </c>
      <c r="C255" s="88" t="s">
        <v>240</v>
      </c>
      <c r="D255" s="88"/>
      <c r="E255" s="88"/>
      <c r="F255" s="88"/>
      <c r="G255" s="88"/>
      <c r="H255" s="88"/>
      <c r="I255" s="88"/>
      <c r="J255" s="88"/>
      <c r="K255" s="88"/>
      <c r="L255" s="88"/>
      <c r="M255" s="88"/>
      <c r="N255" s="88"/>
      <c r="O255" s="88"/>
      <c r="P255" s="88"/>
      <c r="Q255" s="88"/>
      <c r="R255" s="88"/>
      <c r="S255" s="88"/>
      <c r="T255" s="124"/>
    </row>
    <row r="256" spans="1:20" s="38" customFormat="1" ht="19.5" customHeight="1">
      <c r="A256" s="44" t="s">
        <v>241</v>
      </c>
      <c r="B256" s="43" t="s">
        <v>242</v>
      </c>
      <c r="C256" s="43"/>
      <c r="D256" s="43"/>
      <c r="E256" s="43"/>
      <c r="F256" s="43"/>
      <c r="G256" s="43"/>
      <c r="H256" s="45"/>
      <c r="I256" s="45"/>
      <c r="J256" s="45"/>
      <c r="K256" s="45"/>
      <c r="L256" s="45"/>
      <c r="M256" s="45"/>
      <c r="N256" s="45"/>
      <c r="O256" s="45"/>
      <c r="P256" s="45"/>
      <c r="Q256" s="45"/>
      <c r="R256" s="45"/>
      <c r="S256" s="45"/>
      <c r="T256" s="113"/>
    </row>
    <row r="257" spans="1:20" s="49" customFormat="1" ht="28.5" customHeight="1">
      <c r="A257" s="142"/>
      <c r="B257" s="13" t="s">
        <v>94</v>
      </c>
      <c r="C257" s="9" t="s">
        <v>243</v>
      </c>
      <c r="D257" s="95"/>
      <c r="E257" s="11" t="s">
        <v>244</v>
      </c>
      <c r="F257" s="11" t="s">
        <v>245</v>
      </c>
      <c r="G257" s="130"/>
      <c r="H257" s="130"/>
      <c r="I257" s="130"/>
      <c r="J257" s="130"/>
      <c r="K257" s="130"/>
      <c r="L257" s="130"/>
      <c r="M257" s="93"/>
      <c r="N257" s="48"/>
      <c r="O257" s="48"/>
      <c r="P257" s="48"/>
      <c r="Q257" s="48"/>
      <c r="R257" s="48"/>
      <c r="S257" s="48"/>
      <c r="T257" s="48"/>
    </row>
    <row r="258" spans="1:20" s="49" customFormat="1" ht="32.25" customHeight="1">
      <c r="A258" s="124"/>
      <c r="B258" s="50"/>
      <c r="C258" s="81" t="s">
        <v>246</v>
      </c>
      <c r="D258" s="81" t="s">
        <v>246</v>
      </c>
      <c r="E258" s="9"/>
      <c r="F258" s="9"/>
      <c r="G258" s="130"/>
      <c r="H258" s="130"/>
      <c r="I258" s="130"/>
      <c r="J258" s="48"/>
      <c r="K258" s="48"/>
      <c r="L258" s="48"/>
      <c r="M258" s="48"/>
      <c r="N258" s="48"/>
      <c r="O258" s="48"/>
      <c r="P258" s="48"/>
      <c r="Q258" s="48"/>
      <c r="R258" s="48"/>
      <c r="T258" s="48"/>
    </row>
    <row r="259" spans="1:20" s="49" customFormat="1" ht="12.75" customHeight="1">
      <c r="A259" s="124"/>
      <c r="B259" s="58">
        <v>2004</v>
      </c>
      <c r="C259" s="54">
        <v>96.6</v>
      </c>
      <c r="D259" s="143">
        <f>J82</f>
        <v>97</v>
      </c>
      <c r="E259" s="144">
        <f>D259/C259</f>
        <v>1.0041407867494825</v>
      </c>
      <c r="F259" s="145" t="s">
        <v>66</v>
      </c>
      <c r="G259" s="130"/>
      <c r="H259" s="130"/>
      <c r="I259" s="130"/>
      <c r="J259" s="48"/>
      <c r="K259" s="48"/>
      <c r="L259" s="48"/>
      <c r="M259" s="48"/>
      <c r="N259" s="48"/>
      <c r="O259" s="48"/>
      <c r="P259" s="48"/>
      <c r="Q259" s="48"/>
      <c r="R259" s="48"/>
      <c r="T259" s="48"/>
    </row>
    <row r="260" spans="1:20" s="49" customFormat="1" ht="12.75" customHeight="1">
      <c r="A260" s="124"/>
      <c r="B260" s="58">
        <v>2005</v>
      </c>
      <c r="C260" s="54">
        <v>100</v>
      </c>
      <c r="D260" s="143">
        <f t="shared" ref="D260:D266" si="34">J83</f>
        <v>100</v>
      </c>
      <c r="E260" s="146">
        <f t="shared" ref="E260:E266" si="35">D260/C260</f>
        <v>1</v>
      </c>
      <c r="F260" s="145" t="s">
        <v>66</v>
      </c>
      <c r="G260" s="130"/>
      <c r="H260" s="130"/>
      <c r="I260" s="130"/>
      <c r="J260" s="48"/>
      <c r="K260" s="48"/>
      <c r="L260" s="48"/>
      <c r="M260" s="48"/>
      <c r="N260" s="48"/>
      <c r="O260" s="48"/>
      <c r="P260" s="48"/>
      <c r="Q260" s="48"/>
      <c r="R260" s="48"/>
      <c r="T260" s="48"/>
    </row>
    <row r="261" spans="1:20" s="49" customFormat="1" ht="12.75" customHeight="1">
      <c r="A261" s="124"/>
      <c r="B261" s="58">
        <v>2006</v>
      </c>
      <c r="C261" s="54">
        <v>103.4</v>
      </c>
      <c r="D261" s="143">
        <f t="shared" si="34"/>
        <v>103.1</v>
      </c>
      <c r="E261" s="146">
        <f t="shared" si="35"/>
        <v>0.99709864603481613</v>
      </c>
      <c r="F261" s="145" t="s">
        <v>66</v>
      </c>
      <c r="G261" s="130"/>
      <c r="H261" s="130"/>
      <c r="I261" s="130"/>
      <c r="J261" s="48"/>
      <c r="K261" s="48"/>
      <c r="L261" s="48"/>
      <c r="M261" s="48"/>
      <c r="N261" s="48"/>
      <c r="O261" s="48"/>
      <c r="P261" s="48"/>
      <c r="Q261" s="48"/>
      <c r="R261" s="48"/>
      <c r="T261" s="48"/>
    </row>
    <row r="262" spans="1:20" s="49" customFormat="1" ht="12.75" customHeight="1">
      <c r="A262" s="124"/>
      <c r="B262" s="58">
        <v>2007</v>
      </c>
      <c r="C262" s="54">
        <v>106.9</v>
      </c>
      <c r="D262" s="143">
        <f t="shared" si="34"/>
        <v>106.5</v>
      </c>
      <c r="E262" s="146">
        <f t="shared" si="35"/>
        <v>0.99625818521983156</v>
      </c>
      <c r="F262" s="145" t="s">
        <v>66</v>
      </c>
      <c r="G262" s="130"/>
      <c r="H262" s="130"/>
      <c r="I262" s="130"/>
      <c r="J262" s="48"/>
      <c r="K262" s="48"/>
      <c r="L262" s="48"/>
      <c r="M262" s="48"/>
      <c r="N262" s="48"/>
      <c r="O262" s="48"/>
      <c r="P262" s="48"/>
      <c r="Q262" s="48"/>
      <c r="R262" s="48"/>
      <c r="T262" s="48"/>
    </row>
    <row r="263" spans="1:20" s="49" customFormat="1" ht="12.75" customHeight="1">
      <c r="A263" s="124"/>
      <c r="B263" s="58">
        <v>2008</v>
      </c>
      <c r="C263" s="54">
        <v>110.2</v>
      </c>
      <c r="D263" s="143">
        <f t="shared" si="34"/>
        <v>109.3</v>
      </c>
      <c r="E263" s="146">
        <f t="shared" si="35"/>
        <v>0.99183303085299446</v>
      </c>
      <c r="F263" s="145" t="s">
        <v>66</v>
      </c>
      <c r="G263" s="130"/>
      <c r="H263" s="130"/>
      <c r="I263" s="130"/>
      <c r="J263" s="48"/>
      <c r="K263" s="48"/>
      <c r="L263" s="48"/>
      <c r="M263" s="48"/>
      <c r="N263" s="48"/>
      <c r="O263" s="48"/>
      <c r="P263" s="48"/>
      <c r="Q263" s="48"/>
      <c r="R263" s="48"/>
      <c r="T263" s="48"/>
    </row>
    <row r="264" spans="1:20" s="49" customFormat="1" ht="12.75" customHeight="1">
      <c r="A264" s="124"/>
      <c r="B264" s="58">
        <v>2009</v>
      </c>
      <c r="C264" s="54">
        <v>113.7</v>
      </c>
      <c r="D264" s="143">
        <f t="shared" si="34"/>
        <v>112.3</v>
      </c>
      <c r="E264" s="146">
        <f t="shared" si="35"/>
        <v>0.98768689533861032</v>
      </c>
      <c r="F264" s="145" t="s">
        <v>66</v>
      </c>
      <c r="G264" s="130"/>
      <c r="H264" s="130"/>
      <c r="I264" s="130"/>
      <c r="J264" s="48"/>
      <c r="K264" s="48"/>
      <c r="L264" s="48"/>
      <c r="M264" s="48"/>
      <c r="N264" s="48"/>
      <c r="O264" s="48"/>
      <c r="P264" s="48"/>
      <c r="Q264" s="48"/>
      <c r="R264" s="48"/>
      <c r="T264" s="48"/>
    </row>
    <row r="265" spans="1:20" s="49" customFormat="1" ht="12.75" customHeight="1">
      <c r="A265" s="124"/>
      <c r="B265" s="58">
        <v>2010</v>
      </c>
      <c r="C265" s="54">
        <v>116.9</v>
      </c>
      <c r="D265" s="143">
        <f t="shared" si="34"/>
        <v>115.4</v>
      </c>
      <c r="E265" s="146">
        <f t="shared" si="35"/>
        <v>0.98716852010265188</v>
      </c>
      <c r="F265" s="145" t="s">
        <v>66</v>
      </c>
      <c r="G265" s="130"/>
      <c r="H265" s="130"/>
      <c r="I265" s="130"/>
      <c r="J265" s="48"/>
      <c r="K265" s="48"/>
      <c r="L265" s="48"/>
      <c r="M265" s="48"/>
      <c r="N265" s="48"/>
      <c r="O265" s="48"/>
      <c r="P265" s="48"/>
      <c r="Q265" s="48"/>
      <c r="R265" s="48"/>
      <c r="T265" s="48"/>
    </row>
    <row r="266" spans="1:20" s="49" customFormat="1" ht="12.75" customHeight="1">
      <c r="A266" s="124"/>
      <c r="B266" s="58">
        <v>2011</v>
      </c>
      <c r="C266" s="54">
        <v>120</v>
      </c>
      <c r="D266" s="143">
        <f t="shared" si="34"/>
        <v>117.8</v>
      </c>
      <c r="E266" s="146">
        <f t="shared" si="35"/>
        <v>0.98166666666666669</v>
      </c>
      <c r="F266" s="145" t="s">
        <v>66</v>
      </c>
      <c r="G266" s="130"/>
      <c r="H266" s="130"/>
      <c r="I266" s="130"/>
      <c r="J266" s="48"/>
      <c r="K266" s="48"/>
      <c r="L266" s="48"/>
      <c r="M266" s="48"/>
      <c r="N266" s="48"/>
      <c r="O266" s="48"/>
      <c r="P266" s="48"/>
      <c r="Q266" s="48"/>
      <c r="R266" s="48"/>
      <c r="T266" s="48"/>
    </row>
    <row r="267" spans="1:20" s="49" customFormat="1" ht="12.75" customHeight="1">
      <c r="A267" s="124"/>
      <c r="B267" s="58">
        <v>2012</v>
      </c>
      <c r="C267" s="54">
        <v>123.7</v>
      </c>
      <c r="D267" s="145" t="s">
        <v>65</v>
      </c>
      <c r="E267" s="147">
        <f>TREND(E259:E266,B259:B266,B267)</f>
        <v>0.97961712816410085</v>
      </c>
      <c r="F267" s="139">
        <f>C267*E267</f>
        <v>121.17863875389928</v>
      </c>
      <c r="H267" s="130"/>
      <c r="I267" s="130"/>
      <c r="J267" s="48"/>
      <c r="K267" s="48"/>
      <c r="L267" s="48"/>
      <c r="M267" s="48"/>
      <c r="N267" s="48"/>
      <c r="O267" s="48"/>
      <c r="P267" s="48"/>
      <c r="Q267" s="48"/>
      <c r="R267" s="48"/>
      <c r="T267" s="48"/>
    </row>
    <row r="268" spans="1:20" s="49" customFormat="1" ht="12.75" customHeight="1">
      <c r="A268" s="124"/>
      <c r="B268" s="58">
        <v>2013</v>
      </c>
      <c r="C268" s="54">
        <v>127.7</v>
      </c>
      <c r="D268" s="145" t="s">
        <v>65</v>
      </c>
      <c r="E268" s="147">
        <f t="shared" ref="E268:E274" si="36">TREND(E260:E267,B260:B267,B268)</f>
        <v>0.97670603776756781</v>
      </c>
      <c r="F268" s="139">
        <f t="shared" ref="F268:F274" si="37">C268*E268</f>
        <v>124.72536102291841</v>
      </c>
      <c r="H268" s="130"/>
      <c r="I268" s="130"/>
      <c r="J268" s="48"/>
      <c r="K268" s="48"/>
      <c r="L268" s="48"/>
      <c r="M268" s="48"/>
      <c r="N268" s="48"/>
      <c r="O268" s="48"/>
      <c r="P268" s="48"/>
      <c r="Q268" s="48"/>
      <c r="R268" s="48"/>
      <c r="T268" s="48"/>
    </row>
    <row r="269" spans="1:20" s="49" customFormat="1" ht="12.75" customHeight="1">
      <c r="A269" s="124"/>
      <c r="B269" s="58">
        <v>2014</v>
      </c>
      <c r="C269" s="54">
        <v>132.1</v>
      </c>
      <c r="D269" s="145" t="s">
        <v>65</v>
      </c>
      <c r="E269" s="147">
        <f t="shared" si="36"/>
        <v>0.97348808461067282</v>
      </c>
      <c r="F269" s="139">
        <f t="shared" si="37"/>
        <v>128.59777597706989</v>
      </c>
      <c r="H269" s="130"/>
      <c r="I269" s="130"/>
      <c r="J269" s="48"/>
      <c r="K269" s="48"/>
      <c r="L269" s="48"/>
      <c r="M269" s="48"/>
      <c r="N269" s="48"/>
      <c r="O269" s="48"/>
      <c r="P269" s="48"/>
      <c r="Q269" s="48"/>
      <c r="R269" s="48"/>
      <c r="T269" s="48"/>
    </row>
    <row r="270" spans="1:20" s="49" customFormat="1" ht="12.75" customHeight="1">
      <c r="A270" s="124"/>
      <c r="B270" s="58">
        <v>2015</v>
      </c>
      <c r="C270" s="54">
        <v>136.9</v>
      </c>
      <c r="D270" s="145" t="s">
        <v>65</v>
      </c>
      <c r="E270" s="147">
        <f t="shared" si="36"/>
        <v>0.97012073869838211</v>
      </c>
      <c r="F270" s="139">
        <f t="shared" si="37"/>
        <v>132.8095291278085</v>
      </c>
      <c r="H270" s="130"/>
      <c r="I270" s="130"/>
      <c r="J270" s="48"/>
      <c r="K270" s="48"/>
      <c r="L270" s="48"/>
      <c r="M270" s="48"/>
      <c r="N270" s="48"/>
      <c r="O270" s="48"/>
      <c r="P270" s="48"/>
      <c r="Q270" s="48"/>
      <c r="R270" s="48"/>
      <c r="T270" s="48"/>
    </row>
    <row r="271" spans="1:20" s="49" customFormat="1" ht="12.75" customHeight="1">
      <c r="A271" s="124"/>
      <c r="B271" s="58">
        <v>2016</v>
      </c>
      <c r="C271" s="54">
        <v>141.80000000000001</v>
      </c>
      <c r="D271" s="145" t="s">
        <v>65</v>
      </c>
      <c r="E271" s="147">
        <f t="shared" si="36"/>
        <v>0.9672992582628952</v>
      </c>
      <c r="F271" s="139">
        <f t="shared" si="37"/>
        <v>137.16303482167854</v>
      </c>
      <c r="H271" s="130"/>
      <c r="I271" s="130"/>
      <c r="J271" s="48"/>
      <c r="K271" s="48"/>
      <c r="L271" s="48"/>
      <c r="M271" s="48"/>
      <c r="N271" s="48"/>
      <c r="O271" s="48"/>
      <c r="P271" s="48"/>
      <c r="Q271" s="48"/>
      <c r="R271" s="48"/>
      <c r="T271" s="48"/>
    </row>
    <row r="272" spans="1:20" s="49" customFormat="1" ht="12.75" customHeight="1">
      <c r="A272" s="124"/>
      <c r="B272" s="58">
        <v>2017</v>
      </c>
      <c r="C272" s="54">
        <v>146.9</v>
      </c>
      <c r="D272" s="145" t="s">
        <v>65</v>
      </c>
      <c r="E272" s="147">
        <f t="shared" si="36"/>
        <v>0.96428706603452152</v>
      </c>
      <c r="F272" s="139">
        <f t="shared" si="37"/>
        <v>141.65377000047121</v>
      </c>
      <c r="H272" s="130"/>
      <c r="I272" s="130"/>
      <c r="J272" s="48"/>
      <c r="K272" s="48"/>
      <c r="L272" s="48"/>
      <c r="M272" s="48"/>
      <c r="N272" s="48"/>
      <c r="O272" s="48"/>
      <c r="P272" s="48"/>
      <c r="Q272" s="48"/>
      <c r="R272" s="48"/>
      <c r="T272" s="48"/>
    </row>
    <row r="273" spans="1:20" s="49" customFormat="1" ht="12.75" customHeight="1">
      <c r="A273" s="124"/>
      <c r="B273" s="58">
        <v>2018</v>
      </c>
      <c r="C273" s="54">
        <v>152.30000000000001</v>
      </c>
      <c r="D273" s="145" t="s">
        <v>65</v>
      </c>
      <c r="E273" s="147">
        <f t="shared" si="36"/>
        <v>0.96091663350004897</v>
      </c>
      <c r="F273" s="139">
        <f t="shared" si="37"/>
        <v>146.34760328205746</v>
      </c>
      <c r="H273" s="130"/>
      <c r="I273" s="130"/>
      <c r="J273" s="48"/>
      <c r="K273" s="48"/>
      <c r="L273" s="48"/>
      <c r="M273" s="48"/>
      <c r="N273" s="48"/>
      <c r="O273" s="48"/>
      <c r="P273" s="48"/>
      <c r="Q273" s="48"/>
      <c r="R273" s="48"/>
      <c r="T273" s="48"/>
    </row>
    <row r="274" spans="1:20" s="49" customFormat="1" ht="12.75" customHeight="1">
      <c r="A274" s="124"/>
      <c r="B274" s="58">
        <v>2019</v>
      </c>
      <c r="C274" s="54">
        <v>157.9</v>
      </c>
      <c r="D274" s="145" t="s">
        <v>65</v>
      </c>
      <c r="E274" s="147">
        <f t="shared" si="36"/>
        <v>0.95818297525379315</v>
      </c>
      <c r="F274" s="139">
        <f t="shared" si="37"/>
        <v>151.29709179257395</v>
      </c>
      <c r="H274" s="130"/>
      <c r="I274" s="130"/>
      <c r="J274" s="48"/>
      <c r="K274" s="48"/>
      <c r="L274" s="48"/>
      <c r="M274" s="48"/>
      <c r="N274" s="48"/>
      <c r="O274" s="48"/>
      <c r="P274" s="48"/>
      <c r="Q274" s="48"/>
      <c r="R274" s="48"/>
      <c r="T274" s="48"/>
    </row>
    <row r="275" spans="1:20" s="49" customFormat="1" ht="12.75" customHeight="1">
      <c r="A275" s="89"/>
      <c r="B275" s="123" t="s">
        <v>23</v>
      </c>
      <c r="C275" s="27" t="s">
        <v>247</v>
      </c>
      <c r="D275" s="27" t="s">
        <v>248</v>
      </c>
      <c r="E275" s="27" t="s">
        <v>249</v>
      </c>
      <c r="F275" s="27" t="s">
        <v>250</v>
      </c>
      <c r="H275" s="130"/>
      <c r="I275" s="130"/>
      <c r="J275" s="48"/>
      <c r="K275" s="48"/>
      <c r="L275" s="48"/>
      <c r="M275" s="48"/>
      <c r="N275" s="48"/>
      <c r="O275" s="48"/>
      <c r="P275" s="48"/>
      <c r="Q275" s="48"/>
      <c r="R275" s="48"/>
      <c r="T275" s="48"/>
    </row>
    <row r="276" spans="1:20" s="89" customFormat="1" ht="18" customHeight="1">
      <c r="B276" s="39" t="str">
        <f>C275</f>
        <v>[P7a]</v>
      </c>
      <c r="C276" s="88" t="s">
        <v>251</v>
      </c>
      <c r="D276" s="88"/>
      <c r="E276" s="88"/>
      <c r="F276" s="88"/>
      <c r="G276" s="88"/>
      <c r="H276" s="88"/>
      <c r="I276" s="88"/>
      <c r="J276" s="88"/>
      <c r="K276" s="88"/>
      <c r="L276" s="88"/>
      <c r="M276" s="88"/>
      <c r="N276" s="88"/>
      <c r="O276" s="88"/>
      <c r="P276" s="88"/>
      <c r="Q276" s="88"/>
      <c r="R276" s="88"/>
      <c r="S276" s="88"/>
      <c r="T276" s="124"/>
    </row>
    <row r="277" spans="1:20" s="89" customFormat="1" ht="18" customHeight="1">
      <c r="B277" s="39" t="str">
        <f>D275</f>
        <v>[P7b]</v>
      </c>
      <c r="C277" s="88" t="s">
        <v>252</v>
      </c>
      <c r="D277" s="88"/>
      <c r="E277" s="88"/>
      <c r="F277" s="88"/>
      <c r="G277" s="88"/>
      <c r="H277" s="88"/>
      <c r="I277" s="88"/>
      <c r="J277" s="88"/>
      <c r="K277" s="88"/>
      <c r="L277" s="88"/>
      <c r="M277" s="88"/>
      <c r="N277" s="88"/>
      <c r="O277" s="88"/>
      <c r="P277" s="88"/>
      <c r="Q277" s="88"/>
      <c r="R277" s="88"/>
      <c r="S277" s="88"/>
      <c r="T277" s="124"/>
    </row>
    <row r="278" spans="1:20" s="89" customFormat="1" ht="24.75" customHeight="1">
      <c r="B278" s="39" t="str">
        <f>E275</f>
        <v>[P7c]</v>
      </c>
      <c r="C278" s="88" t="s">
        <v>253</v>
      </c>
      <c r="D278" s="88"/>
      <c r="E278" s="88"/>
      <c r="F278" s="88"/>
      <c r="G278" s="88"/>
      <c r="H278" s="88"/>
      <c r="I278" s="88"/>
      <c r="J278" s="88"/>
      <c r="K278" s="88"/>
      <c r="L278" s="88"/>
      <c r="M278" s="88"/>
      <c r="N278" s="88"/>
      <c r="O278" s="88"/>
      <c r="P278" s="88"/>
      <c r="Q278" s="88"/>
      <c r="R278" s="88"/>
      <c r="S278" s="88"/>
      <c r="T278" s="124"/>
    </row>
    <row r="279" spans="1:20" s="89" customFormat="1" ht="18" customHeight="1">
      <c r="B279" s="39" t="str">
        <f>F275</f>
        <v>[P7d]</v>
      </c>
      <c r="C279" s="88" t="s">
        <v>254</v>
      </c>
      <c r="D279" s="88"/>
      <c r="E279" s="88"/>
      <c r="F279" s="88"/>
      <c r="G279" s="88"/>
      <c r="H279" s="88"/>
      <c r="I279" s="88"/>
      <c r="J279" s="88"/>
      <c r="K279" s="88"/>
      <c r="L279" s="88"/>
      <c r="M279" s="88"/>
      <c r="N279" s="88"/>
      <c r="O279" s="88"/>
      <c r="P279" s="88"/>
      <c r="Q279" s="88"/>
      <c r="R279" s="88"/>
      <c r="S279" s="88"/>
      <c r="T279" s="124"/>
    </row>
    <row r="280" spans="1:20" s="38" customFormat="1" ht="19.5" customHeight="1">
      <c r="A280" s="43" t="s">
        <v>110</v>
      </c>
      <c r="B280" s="43"/>
      <c r="C280" s="43"/>
      <c r="D280" s="43"/>
      <c r="E280" s="43"/>
      <c r="F280" s="43"/>
      <c r="G280" s="43"/>
      <c r="H280" s="43"/>
      <c r="I280" s="43"/>
      <c r="J280" s="43"/>
      <c r="K280" s="148"/>
      <c r="L280" s="148"/>
      <c r="M280" s="37"/>
      <c r="N280" s="37"/>
      <c r="O280" s="37"/>
      <c r="P280" s="37"/>
      <c r="Q280" s="37"/>
      <c r="R280" s="37"/>
      <c r="S280" s="37"/>
      <c r="T280" s="113"/>
    </row>
    <row r="281" spans="1:20" s="89" customFormat="1" ht="18" customHeight="1">
      <c r="A281" s="149" t="s">
        <v>111</v>
      </c>
      <c r="B281" s="150" t="s">
        <v>255</v>
      </c>
      <c r="C281" s="150"/>
      <c r="D281" s="150"/>
      <c r="E281" s="150"/>
      <c r="F281" s="150"/>
      <c r="G281" s="150"/>
      <c r="H281" s="150"/>
      <c r="I281" s="150"/>
      <c r="J281" s="150"/>
      <c r="K281" s="150"/>
      <c r="L281" s="150"/>
      <c r="M281" s="150"/>
      <c r="N281" s="150"/>
      <c r="O281" s="150"/>
      <c r="P281" s="150"/>
      <c r="Q281" s="150"/>
      <c r="R281" s="150"/>
      <c r="S281" s="150"/>
      <c r="T281" s="124"/>
    </row>
    <row r="282" spans="1:20" s="89" customFormat="1" ht="18" customHeight="1">
      <c r="A282" s="149" t="s">
        <v>113</v>
      </c>
      <c r="B282" s="150" t="s">
        <v>256</v>
      </c>
      <c r="C282" s="150"/>
      <c r="D282" s="150"/>
      <c r="E282" s="150"/>
      <c r="F282" s="150"/>
      <c r="G282" s="150"/>
      <c r="H282" s="150"/>
      <c r="I282" s="150"/>
      <c r="J282" s="150"/>
      <c r="K282" s="150"/>
      <c r="L282" s="150"/>
      <c r="M282" s="150"/>
      <c r="N282" s="150"/>
      <c r="O282" s="150"/>
      <c r="P282" s="150"/>
      <c r="Q282" s="150"/>
      <c r="R282" s="150"/>
      <c r="S282" s="150"/>
      <c r="T282" s="124"/>
    </row>
    <row r="283" spans="1:20" s="89" customFormat="1" ht="24.75" customHeight="1">
      <c r="A283" s="39" t="s">
        <v>115</v>
      </c>
      <c r="B283" s="88" t="s">
        <v>116</v>
      </c>
      <c r="C283" s="88"/>
      <c r="D283" s="88"/>
      <c r="E283" s="88"/>
      <c r="F283" s="88"/>
      <c r="G283" s="88"/>
      <c r="H283" s="88"/>
      <c r="I283" s="88"/>
      <c r="J283" s="88"/>
      <c r="K283" s="88"/>
      <c r="L283" s="88"/>
      <c r="M283" s="88"/>
      <c r="N283" s="88"/>
      <c r="O283" s="88"/>
      <c r="P283" s="88"/>
      <c r="Q283" s="88"/>
      <c r="R283" s="88"/>
      <c r="S283" s="88"/>
      <c r="T283" s="124"/>
    </row>
    <row r="284" spans="1:20" s="89" customFormat="1" ht="24.75" customHeight="1">
      <c r="A284" s="39" t="s">
        <v>117</v>
      </c>
      <c r="B284" s="90" t="s">
        <v>257</v>
      </c>
      <c r="C284" s="90"/>
      <c r="D284" s="90"/>
      <c r="E284" s="90"/>
      <c r="F284" s="90"/>
      <c r="G284" s="90"/>
      <c r="H284" s="90"/>
      <c r="I284" s="90"/>
      <c r="J284" s="90"/>
      <c r="K284" s="90"/>
      <c r="L284" s="90"/>
      <c r="M284" s="90"/>
      <c r="N284" s="90"/>
      <c r="O284" s="90"/>
      <c r="P284" s="90"/>
      <c r="Q284" s="90"/>
      <c r="R284" s="90"/>
      <c r="S284" s="90"/>
      <c r="T284" s="130"/>
    </row>
    <row r="285" spans="1:20" s="89" customFormat="1" ht="24.75" customHeight="1">
      <c r="A285" s="39" t="s">
        <v>119</v>
      </c>
      <c r="B285" s="88" t="s">
        <v>258</v>
      </c>
      <c r="C285" s="88"/>
      <c r="D285" s="88"/>
      <c r="E285" s="88"/>
      <c r="F285" s="88"/>
      <c r="G285" s="88"/>
      <c r="H285" s="88"/>
      <c r="I285" s="88"/>
      <c r="J285" s="88"/>
      <c r="K285" s="88"/>
      <c r="L285" s="88"/>
      <c r="M285" s="88"/>
      <c r="N285" s="88"/>
      <c r="O285" s="88"/>
      <c r="P285" s="88"/>
      <c r="Q285" s="88"/>
      <c r="R285" s="88"/>
      <c r="S285" s="88"/>
      <c r="T285" s="124"/>
    </row>
    <row r="286" spans="1:20" s="89" customFormat="1" ht="24.75" customHeight="1">
      <c r="A286" s="39" t="s">
        <v>121</v>
      </c>
      <c r="B286" s="88" t="s">
        <v>259</v>
      </c>
      <c r="C286" s="88"/>
      <c r="D286" s="88"/>
      <c r="E286" s="88"/>
      <c r="F286" s="88"/>
      <c r="G286" s="88"/>
      <c r="H286" s="88"/>
      <c r="I286" s="88"/>
      <c r="J286" s="88"/>
      <c r="K286" s="88"/>
      <c r="L286" s="88"/>
      <c r="M286" s="88"/>
      <c r="N286" s="88"/>
      <c r="O286" s="88"/>
      <c r="P286" s="88"/>
      <c r="Q286" s="88"/>
      <c r="R286" s="88"/>
      <c r="S286" s="88"/>
      <c r="T286" s="124"/>
    </row>
    <row r="287" spans="1:20" s="89" customFormat="1" ht="24.75" customHeight="1">
      <c r="A287" s="39" t="s">
        <v>123</v>
      </c>
      <c r="B287" s="90" t="s">
        <v>260</v>
      </c>
      <c r="C287" s="90"/>
      <c r="D287" s="90"/>
      <c r="E287" s="90"/>
      <c r="F287" s="90"/>
      <c r="G287" s="90"/>
      <c r="H287" s="90"/>
      <c r="I287" s="90"/>
      <c r="J287" s="90"/>
      <c r="K287" s="90"/>
      <c r="L287" s="90"/>
      <c r="M287" s="90"/>
      <c r="N287" s="90"/>
      <c r="O287" s="90"/>
      <c r="P287" s="90"/>
      <c r="Q287" s="90"/>
      <c r="R287" s="90"/>
      <c r="S287" s="90"/>
      <c r="T287" s="151"/>
    </row>
    <row r="288" spans="1:20" s="89" customFormat="1" ht="24.75" customHeight="1">
      <c r="A288" s="39" t="s">
        <v>125</v>
      </c>
      <c r="B288" s="88" t="s">
        <v>261</v>
      </c>
      <c r="C288" s="88"/>
      <c r="D288" s="88"/>
      <c r="E288" s="88"/>
      <c r="F288" s="88"/>
      <c r="G288" s="88"/>
      <c r="H288" s="88"/>
      <c r="I288" s="88"/>
      <c r="J288" s="88"/>
      <c r="K288" s="88"/>
      <c r="L288" s="88"/>
      <c r="M288" s="88"/>
      <c r="N288" s="88"/>
      <c r="O288" s="88"/>
      <c r="P288" s="88"/>
      <c r="Q288" s="88"/>
      <c r="R288" s="88"/>
      <c r="S288" s="88"/>
      <c r="T288" s="124"/>
    </row>
    <row r="289" spans="1:20" s="89" customFormat="1" ht="36" customHeight="1">
      <c r="A289" s="39" t="s">
        <v>127</v>
      </c>
      <c r="B289" s="90" t="s">
        <v>136</v>
      </c>
      <c r="C289" s="90"/>
      <c r="D289" s="90"/>
      <c r="E289" s="90"/>
      <c r="F289" s="90"/>
      <c r="G289" s="90"/>
      <c r="H289" s="90"/>
      <c r="I289" s="90"/>
      <c r="J289" s="90"/>
      <c r="K289" s="90"/>
      <c r="L289" s="90"/>
      <c r="M289" s="90"/>
      <c r="N289" s="90"/>
      <c r="O289" s="90"/>
      <c r="P289" s="90"/>
      <c r="Q289" s="90"/>
      <c r="R289" s="90"/>
      <c r="S289" s="90"/>
      <c r="T289" s="130"/>
    </row>
    <row r="290" spans="1:20" s="89" customFormat="1" ht="36" customHeight="1">
      <c r="A290" s="39" t="s">
        <v>129</v>
      </c>
      <c r="B290" s="90" t="s">
        <v>262</v>
      </c>
      <c r="C290" s="90"/>
      <c r="D290" s="90"/>
      <c r="E290" s="90"/>
      <c r="F290" s="90"/>
      <c r="G290" s="90"/>
      <c r="H290" s="90"/>
      <c r="I290" s="90"/>
      <c r="J290" s="90"/>
      <c r="K290" s="90"/>
      <c r="L290" s="90"/>
      <c r="M290" s="90"/>
      <c r="N290" s="90"/>
      <c r="O290" s="90"/>
      <c r="P290" s="90"/>
      <c r="Q290" s="90"/>
      <c r="R290" s="90"/>
      <c r="S290" s="90"/>
      <c r="T290" s="151"/>
    </row>
    <row r="291" spans="1:20" s="89" customFormat="1" ht="36" customHeight="1">
      <c r="A291" s="39" t="s">
        <v>131</v>
      </c>
      <c r="B291" s="90" t="s">
        <v>263</v>
      </c>
      <c r="C291" s="90"/>
      <c r="D291" s="90"/>
      <c r="E291" s="90"/>
      <c r="F291" s="90"/>
      <c r="G291" s="90"/>
      <c r="H291" s="90"/>
      <c r="I291" s="90"/>
      <c r="J291" s="90"/>
      <c r="K291" s="90"/>
      <c r="L291" s="90"/>
      <c r="M291" s="90"/>
      <c r="N291" s="90"/>
      <c r="O291" s="90"/>
      <c r="P291" s="90"/>
      <c r="Q291" s="90"/>
      <c r="R291" s="90"/>
      <c r="S291" s="90"/>
      <c r="T291" s="151"/>
    </row>
    <row r="292" spans="1:20" s="89" customFormat="1" ht="24.75" customHeight="1">
      <c r="A292" s="39" t="s">
        <v>133</v>
      </c>
      <c r="B292" s="90" t="s">
        <v>264</v>
      </c>
      <c r="C292" s="90"/>
      <c r="D292" s="90"/>
      <c r="E292" s="90"/>
      <c r="F292" s="90"/>
      <c r="G292" s="90"/>
      <c r="H292" s="90"/>
      <c r="I292" s="90"/>
      <c r="J292" s="90"/>
      <c r="K292" s="90"/>
      <c r="L292" s="90"/>
      <c r="M292" s="90"/>
      <c r="N292" s="90"/>
      <c r="O292" s="90"/>
      <c r="P292" s="90"/>
      <c r="Q292" s="90"/>
      <c r="R292" s="90"/>
      <c r="S292" s="90"/>
      <c r="T292" s="130"/>
    </row>
    <row r="293" spans="1:20" ht="18">
      <c r="A293" s="91" t="s">
        <v>265</v>
      </c>
      <c r="B293" s="91"/>
      <c r="C293" s="91"/>
      <c r="D293" s="91"/>
      <c r="E293" s="91"/>
      <c r="F293" s="91"/>
      <c r="G293" s="91"/>
      <c r="H293" s="91"/>
      <c r="I293" s="91"/>
      <c r="J293" s="91"/>
      <c r="K293" s="91"/>
      <c r="L293" s="91"/>
      <c r="M293" s="91"/>
      <c r="N293" s="91"/>
      <c r="O293" s="91"/>
      <c r="P293" s="91"/>
      <c r="Q293" s="91"/>
      <c r="R293" s="91"/>
    </row>
  </sheetData>
  <mergeCells count="122">
    <mergeCell ref="B288:S288"/>
    <mergeCell ref="B289:S289"/>
    <mergeCell ref="B290:S290"/>
    <mergeCell ref="B291:S291"/>
    <mergeCell ref="B292:S292"/>
    <mergeCell ref="A293:R293"/>
    <mergeCell ref="B282:S282"/>
    <mergeCell ref="B283:S283"/>
    <mergeCell ref="B284:S284"/>
    <mergeCell ref="B285:S285"/>
    <mergeCell ref="B286:S286"/>
    <mergeCell ref="B287:S287"/>
    <mergeCell ref="C276:S276"/>
    <mergeCell ref="C277:S277"/>
    <mergeCell ref="C278:S278"/>
    <mergeCell ref="C279:S279"/>
    <mergeCell ref="A280:J280"/>
    <mergeCell ref="B281:S281"/>
    <mergeCell ref="C253:S253"/>
    <mergeCell ref="C254:S254"/>
    <mergeCell ref="C255:S255"/>
    <mergeCell ref="B256:G256"/>
    <mergeCell ref="B257:B258"/>
    <mergeCell ref="C257:D257"/>
    <mergeCell ref="E257:E258"/>
    <mergeCell ref="F257:F258"/>
    <mergeCell ref="C208:S208"/>
    <mergeCell ref="C209:S209"/>
    <mergeCell ref="B210:S210"/>
    <mergeCell ref="A211:A247"/>
    <mergeCell ref="B211:B212"/>
    <mergeCell ref="C211:D211"/>
    <mergeCell ref="E211:E212"/>
    <mergeCell ref="A196:A206"/>
    <mergeCell ref="B196:B197"/>
    <mergeCell ref="C196:D196"/>
    <mergeCell ref="E196:F196"/>
    <mergeCell ref="C207:D207"/>
    <mergeCell ref="E207:F207"/>
    <mergeCell ref="C190:S190"/>
    <mergeCell ref="C191:S191"/>
    <mergeCell ref="C192:S192"/>
    <mergeCell ref="C193:S193"/>
    <mergeCell ref="C194:S194"/>
    <mergeCell ref="B195:S195"/>
    <mergeCell ref="C170:E170"/>
    <mergeCell ref="F170:G170"/>
    <mergeCell ref="C171:S171"/>
    <mergeCell ref="C172:S172"/>
    <mergeCell ref="B173:J173"/>
    <mergeCell ref="A174:A183"/>
    <mergeCell ref="B174:B175"/>
    <mergeCell ref="C174:E174"/>
    <mergeCell ref="F174:F175"/>
    <mergeCell ref="G174:G175"/>
    <mergeCell ref="C154:S154"/>
    <mergeCell ref="C155:R155"/>
    <mergeCell ref="B156:J156"/>
    <mergeCell ref="B157:B158"/>
    <mergeCell ref="C157:E157"/>
    <mergeCell ref="F157:G157"/>
    <mergeCell ref="B139:J139"/>
    <mergeCell ref="B140:B141"/>
    <mergeCell ref="C140:E140"/>
    <mergeCell ref="F140:G140"/>
    <mergeCell ref="C153:E153"/>
    <mergeCell ref="F153:G153"/>
    <mergeCell ref="C133:S133"/>
    <mergeCell ref="C134:S134"/>
    <mergeCell ref="C135:S135"/>
    <mergeCell ref="C136:S136"/>
    <mergeCell ref="C137:S137"/>
    <mergeCell ref="C138:S138"/>
    <mergeCell ref="B114:S114"/>
    <mergeCell ref="A115:G115"/>
    <mergeCell ref="B116:J116"/>
    <mergeCell ref="A117:A126"/>
    <mergeCell ref="B117:B118"/>
    <mergeCell ref="C117:C118"/>
    <mergeCell ref="D117:F117"/>
    <mergeCell ref="G117:G118"/>
    <mergeCell ref="H117:H118"/>
    <mergeCell ref="B108:S108"/>
    <mergeCell ref="B109:S109"/>
    <mergeCell ref="B110:S110"/>
    <mergeCell ref="B111:S111"/>
    <mergeCell ref="B112:S112"/>
    <mergeCell ref="B113:S113"/>
    <mergeCell ref="B101:F101"/>
    <mergeCell ref="B102:R102"/>
    <mergeCell ref="B104:S104"/>
    <mergeCell ref="B105:S105"/>
    <mergeCell ref="B106:S106"/>
    <mergeCell ref="B107:S107"/>
    <mergeCell ref="P5:P6"/>
    <mergeCell ref="Q5:Q6"/>
    <mergeCell ref="R5:R6"/>
    <mergeCell ref="S5:S6"/>
    <mergeCell ref="K100:P100"/>
    <mergeCell ref="Q100:S100"/>
    <mergeCell ref="J5:J6"/>
    <mergeCell ref="K5:K6"/>
    <mergeCell ref="L5:L6"/>
    <mergeCell ref="M5:M6"/>
    <mergeCell ref="N5:N6"/>
    <mergeCell ref="O5:O6"/>
    <mergeCell ref="D5:D6"/>
    <mergeCell ref="E5:E6"/>
    <mergeCell ref="F5:F6"/>
    <mergeCell ref="G5:G6"/>
    <mergeCell ref="H5:H6"/>
    <mergeCell ref="I5:I6"/>
    <mergeCell ref="A1:S1"/>
    <mergeCell ref="A2:S2"/>
    <mergeCell ref="A3:A6"/>
    <mergeCell ref="B3:B6"/>
    <mergeCell ref="C3:E4"/>
    <mergeCell ref="F3:H4"/>
    <mergeCell ref="I3:J4"/>
    <mergeCell ref="K3:P4"/>
    <mergeCell ref="Q3:S4"/>
    <mergeCell ref="C5:C6"/>
  </mergeCells>
  <pageMargins left="0.7" right="0.7" top="0.75" bottom="0.75" header="0.3" footer="0.3"/>
  <pageSetup scale="92" fitToHeight="0" orientation="landscape" horizontalDpi="300" r:id="rId1"/>
  <rowBreaks count="11" manualBreakCount="11">
    <brk id="37" max="18" man="1"/>
    <brk id="72" max="18" man="1"/>
    <brk id="102" max="18" man="1"/>
    <brk id="114" max="18" man="1"/>
    <brk id="138" max="18" man="1"/>
    <brk id="155" max="18" man="1"/>
    <brk id="172" max="18" man="1"/>
    <brk id="194" max="18" man="1"/>
    <brk id="209" max="18" man="1"/>
    <brk id="251" max="18" man="1"/>
    <brk id="279" max="1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86"/>
  <sheetViews>
    <sheetView view="pageBreakPreview" zoomScaleNormal="100" zoomScaleSheetLayoutView="100" workbookViewId="0">
      <pane xSplit="3" ySplit="7" topLeftCell="D65" activePane="bottomRight" state="frozen"/>
      <selection activeCell="L9" sqref="L9"/>
      <selection pane="topRight" activeCell="L9" sqref="L9"/>
      <selection pane="bottomLeft" activeCell="L9" sqref="L9"/>
      <selection pane="bottomRight" activeCell="L9" sqref="L9"/>
    </sheetView>
  </sheetViews>
  <sheetFormatPr defaultRowHeight="15"/>
  <cols>
    <col min="1" max="1" width="6.7109375" style="93" customWidth="1"/>
    <col min="2" max="2" width="9.7109375" customWidth="1"/>
    <col min="3" max="3" width="7.7109375" customWidth="1"/>
    <col min="4" max="4" width="9.7109375" customWidth="1"/>
    <col min="5" max="14" width="7.7109375" customWidth="1"/>
    <col min="31" max="42" width="7.7109375" customWidth="1"/>
    <col min="43" max="43" width="7.7109375" style="93" customWidth="1"/>
    <col min="44" max="50" width="7.7109375" customWidth="1"/>
  </cols>
  <sheetData>
    <row r="1" spans="1:50" ht="18" customHeight="1">
      <c r="A1" s="92" t="s">
        <v>266</v>
      </c>
      <c r="B1" s="92"/>
      <c r="C1" s="92"/>
      <c r="D1" s="92"/>
      <c r="E1" s="92"/>
      <c r="F1" s="92"/>
      <c r="G1" s="92"/>
      <c r="H1" s="92"/>
      <c r="I1" s="92"/>
      <c r="J1" s="92"/>
      <c r="K1" s="92"/>
      <c r="L1" s="92"/>
      <c r="M1" s="92"/>
      <c r="N1" s="92"/>
      <c r="O1" s="152"/>
    </row>
    <row r="2" spans="1:50" ht="15" customHeight="1" thickBot="1">
      <c r="A2" s="94" t="s">
        <v>267</v>
      </c>
      <c r="B2" s="94"/>
      <c r="C2" s="94"/>
      <c r="D2" s="94"/>
      <c r="E2" s="94"/>
      <c r="F2" s="94"/>
      <c r="G2" s="94"/>
      <c r="H2" s="94"/>
      <c r="I2" s="94"/>
      <c r="J2" s="94"/>
      <c r="K2" s="94"/>
      <c r="L2" s="94"/>
      <c r="M2" s="94"/>
      <c r="N2" s="94"/>
      <c r="O2" s="153"/>
      <c r="AH2" s="153"/>
    </row>
    <row r="3" spans="1:50" ht="18" customHeight="1" thickTop="1">
      <c r="A3" s="4" t="s">
        <v>268</v>
      </c>
      <c r="B3" s="154" t="s">
        <v>269</v>
      </c>
      <c r="C3" s="154" t="s">
        <v>270</v>
      </c>
      <c r="D3" s="3" t="s">
        <v>271</v>
      </c>
      <c r="E3" s="2"/>
      <c r="F3" s="2"/>
      <c r="G3" s="2"/>
      <c r="H3" s="2"/>
      <c r="I3" s="2"/>
      <c r="J3" s="2"/>
      <c r="K3" s="2"/>
      <c r="L3" s="2"/>
      <c r="M3" s="2"/>
      <c r="N3" s="2"/>
      <c r="O3" s="3" t="s">
        <v>272</v>
      </c>
      <c r="P3" s="2"/>
      <c r="Q3" s="2"/>
      <c r="R3" s="2"/>
      <c r="S3" s="2"/>
      <c r="T3" s="2"/>
      <c r="U3" s="2"/>
      <c r="V3" s="2"/>
      <c r="W3" s="2"/>
      <c r="X3" s="2"/>
      <c r="Y3" s="2"/>
      <c r="Z3" s="2"/>
      <c r="AA3" s="2"/>
      <c r="AB3" s="2"/>
      <c r="AC3" s="2"/>
      <c r="AD3" s="4"/>
      <c r="AE3" s="3" t="s">
        <v>273</v>
      </c>
      <c r="AF3" s="2"/>
      <c r="AG3" s="4"/>
      <c r="AH3" s="5" t="s">
        <v>274</v>
      </c>
      <c r="AI3" s="6"/>
      <c r="AJ3" s="6"/>
      <c r="AK3" s="6"/>
      <c r="AL3" s="6"/>
      <c r="AM3" s="6"/>
      <c r="AN3" s="6"/>
      <c r="AO3" s="6"/>
      <c r="AP3" s="6"/>
      <c r="AQ3" s="6"/>
      <c r="AR3" s="6"/>
      <c r="AS3" s="6"/>
      <c r="AT3" s="6"/>
      <c r="AU3" s="6"/>
      <c r="AV3" s="6"/>
      <c r="AW3" s="6"/>
      <c r="AX3" s="6"/>
    </row>
    <row r="4" spans="1:50" ht="12.75" customHeight="1">
      <c r="A4" s="13"/>
      <c r="B4" s="155"/>
      <c r="C4" s="47"/>
      <c r="D4" s="9"/>
      <c r="E4" s="95"/>
      <c r="F4" s="95"/>
      <c r="G4" s="95"/>
      <c r="H4" s="95"/>
      <c r="I4" s="95"/>
      <c r="J4" s="95"/>
      <c r="K4" s="95"/>
      <c r="L4" s="95"/>
      <c r="M4" s="95"/>
      <c r="N4" s="95"/>
      <c r="O4" s="9"/>
      <c r="P4" s="95"/>
      <c r="Q4" s="95"/>
      <c r="R4" s="95"/>
      <c r="S4" s="95"/>
      <c r="T4" s="95"/>
      <c r="U4" s="95"/>
      <c r="V4" s="95"/>
      <c r="W4" s="95"/>
      <c r="X4" s="95"/>
      <c r="Y4" s="95"/>
      <c r="Z4" s="95"/>
      <c r="AA4" s="95"/>
      <c r="AB4" s="95"/>
      <c r="AC4" s="95"/>
      <c r="AD4" s="10"/>
      <c r="AE4" s="9"/>
      <c r="AF4" s="95"/>
      <c r="AG4" s="10"/>
      <c r="AH4" s="47" t="s">
        <v>148</v>
      </c>
      <c r="AI4" s="11" t="s">
        <v>275</v>
      </c>
      <c r="AJ4" s="12"/>
      <c r="AK4" s="12"/>
      <c r="AL4" s="13"/>
      <c r="AM4" s="9" t="s">
        <v>276</v>
      </c>
      <c r="AN4" s="95"/>
      <c r="AO4" s="95"/>
      <c r="AP4" s="95"/>
      <c r="AQ4" s="95"/>
      <c r="AR4" s="95"/>
      <c r="AS4" s="95"/>
      <c r="AT4" s="95"/>
      <c r="AU4" s="95"/>
      <c r="AV4" s="95"/>
      <c r="AW4" s="95"/>
      <c r="AX4" s="95"/>
    </row>
    <row r="5" spans="1:50" ht="15.75" customHeight="1">
      <c r="A5" s="13"/>
      <c r="B5" s="155"/>
      <c r="C5" s="47"/>
      <c r="D5" s="79" t="s">
        <v>148</v>
      </c>
      <c r="E5" s="14" t="s">
        <v>277</v>
      </c>
      <c r="F5" s="14" t="s">
        <v>278</v>
      </c>
      <c r="G5" s="28" t="s">
        <v>279</v>
      </c>
      <c r="H5" s="30"/>
      <c r="I5" s="29"/>
      <c r="J5" s="28" t="s">
        <v>280</v>
      </c>
      <c r="K5" s="30"/>
      <c r="L5" s="29"/>
      <c r="M5" s="14" t="s">
        <v>281</v>
      </c>
      <c r="N5" s="14" t="s">
        <v>282</v>
      </c>
      <c r="O5" s="14" t="s">
        <v>148</v>
      </c>
      <c r="P5" s="15" t="s">
        <v>283</v>
      </c>
      <c r="Q5" s="15" t="s">
        <v>284</v>
      </c>
      <c r="R5" s="15" t="s">
        <v>285</v>
      </c>
      <c r="S5" s="15" t="s">
        <v>286</v>
      </c>
      <c r="T5" s="15" t="s">
        <v>287</v>
      </c>
      <c r="U5" s="28" t="s">
        <v>288</v>
      </c>
      <c r="V5" s="30"/>
      <c r="W5" s="29"/>
      <c r="X5" s="28" t="s">
        <v>289</v>
      </c>
      <c r="Y5" s="30" t="s">
        <v>290</v>
      </c>
      <c r="Z5" s="29" t="s">
        <v>291</v>
      </c>
      <c r="AA5" s="15" t="s">
        <v>292</v>
      </c>
      <c r="AB5" s="15" t="s">
        <v>293</v>
      </c>
      <c r="AC5" s="15" t="s">
        <v>294</v>
      </c>
      <c r="AD5" s="14" t="s">
        <v>295</v>
      </c>
      <c r="AE5" s="14" t="s">
        <v>148</v>
      </c>
      <c r="AF5" s="14" t="s">
        <v>296</v>
      </c>
      <c r="AG5" s="14" t="s">
        <v>297</v>
      </c>
      <c r="AH5" s="47"/>
      <c r="AI5" s="9"/>
      <c r="AJ5" s="95"/>
      <c r="AK5" s="95"/>
      <c r="AL5" s="10"/>
      <c r="AM5" s="28" t="s">
        <v>148</v>
      </c>
      <c r="AN5" s="30"/>
      <c r="AO5" s="30"/>
      <c r="AP5" s="30"/>
      <c r="AQ5" s="28" t="s">
        <v>298</v>
      </c>
      <c r="AR5" s="30"/>
      <c r="AS5" s="30"/>
      <c r="AT5" s="30"/>
      <c r="AU5" s="28" t="s">
        <v>299</v>
      </c>
      <c r="AV5" s="30"/>
      <c r="AW5" s="30"/>
      <c r="AX5" s="30"/>
    </row>
    <row r="6" spans="1:50" ht="33.75" customHeight="1">
      <c r="A6" s="10"/>
      <c r="B6" s="117"/>
      <c r="C6" s="18"/>
      <c r="D6" s="10"/>
      <c r="E6" s="18"/>
      <c r="F6" s="18"/>
      <c r="G6" s="156" t="s">
        <v>148</v>
      </c>
      <c r="H6" s="156" t="s">
        <v>300</v>
      </c>
      <c r="I6" s="156" t="s">
        <v>301</v>
      </c>
      <c r="J6" s="156" t="s">
        <v>148</v>
      </c>
      <c r="K6" s="156" t="s">
        <v>300</v>
      </c>
      <c r="L6" s="156" t="s">
        <v>301</v>
      </c>
      <c r="M6" s="18"/>
      <c r="N6" s="18"/>
      <c r="O6" s="18"/>
      <c r="P6" s="9"/>
      <c r="Q6" s="9"/>
      <c r="R6" s="9"/>
      <c r="S6" s="9"/>
      <c r="T6" s="9"/>
      <c r="U6" s="156" t="s">
        <v>148</v>
      </c>
      <c r="V6" s="156" t="s">
        <v>290</v>
      </c>
      <c r="W6" s="156" t="s">
        <v>302</v>
      </c>
      <c r="X6" s="156" t="s">
        <v>148</v>
      </c>
      <c r="Y6" s="156" t="s">
        <v>290</v>
      </c>
      <c r="Z6" s="156" t="s">
        <v>302</v>
      </c>
      <c r="AA6" s="9"/>
      <c r="AB6" s="9"/>
      <c r="AC6" s="9"/>
      <c r="AD6" s="18"/>
      <c r="AE6" s="18"/>
      <c r="AF6" s="18"/>
      <c r="AG6" s="18"/>
      <c r="AH6" s="18"/>
      <c r="AI6" s="157" t="s">
        <v>148</v>
      </c>
      <c r="AJ6" s="156" t="s">
        <v>303</v>
      </c>
      <c r="AK6" s="156" t="s">
        <v>304</v>
      </c>
      <c r="AL6" s="156" t="s">
        <v>305</v>
      </c>
      <c r="AM6" s="156" t="s">
        <v>148</v>
      </c>
      <c r="AN6" s="156" t="s">
        <v>303</v>
      </c>
      <c r="AO6" s="156" t="s">
        <v>304</v>
      </c>
      <c r="AP6" s="81" t="s">
        <v>305</v>
      </c>
      <c r="AQ6" s="156" t="s">
        <v>148</v>
      </c>
      <c r="AR6" s="156" t="s">
        <v>303</v>
      </c>
      <c r="AS6" s="156" t="s">
        <v>304</v>
      </c>
      <c r="AT6" s="81" t="s">
        <v>305</v>
      </c>
      <c r="AU6" s="156" t="s">
        <v>148</v>
      </c>
      <c r="AV6" s="156" t="s">
        <v>303</v>
      </c>
      <c r="AW6" s="156" t="s">
        <v>304</v>
      </c>
      <c r="AX6" s="81" t="s">
        <v>305</v>
      </c>
    </row>
    <row r="7" spans="1:50" ht="12.75" customHeight="1">
      <c r="A7" s="58">
        <v>1960</v>
      </c>
      <c r="B7" s="23">
        <v>27359</v>
      </c>
      <c r="C7" s="23">
        <v>13051</v>
      </c>
      <c r="D7" s="23">
        <v>7464</v>
      </c>
      <c r="E7" s="23">
        <v>5779</v>
      </c>
      <c r="F7" s="23">
        <v>0</v>
      </c>
      <c r="G7" s="23">
        <v>0</v>
      </c>
      <c r="H7" s="23">
        <v>0</v>
      </c>
      <c r="I7" s="23">
        <v>0</v>
      </c>
      <c r="J7" s="23">
        <v>0</v>
      </c>
      <c r="K7" s="23">
        <v>0</v>
      </c>
      <c r="L7" s="23">
        <v>0</v>
      </c>
      <c r="M7" s="23">
        <v>788</v>
      </c>
      <c r="N7" s="23">
        <v>897</v>
      </c>
      <c r="O7" s="23">
        <v>3906</v>
      </c>
      <c r="P7" s="23">
        <v>64</v>
      </c>
      <c r="Q7" s="23">
        <v>310</v>
      </c>
      <c r="R7" s="23">
        <v>0</v>
      </c>
      <c r="S7" s="23">
        <v>615</v>
      </c>
      <c r="T7" s="23">
        <v>102</v>
      </c>
      <c r="U7" s="23">
        <v>116</v>
      </c>
      <c r="V7" s="23">
        <v>27</v>
      </c>
      <c r="W7" s="23">
        <v>89</v>
      </c>
      <c r="X7" s="23">
        <v>20</v>
      </c>
      <c r="Y7" s="23">
        <v>12</v>
      </c>
      <c r="Z7" s="23">
        <v>8</v>
      </c>
      <c r="AA7" s="23">
        <v>337</v>
      </c>
      <c r="AB7" s="23">
        <v>0</v>
      </c>
      <c r="AC7" s="23">
        <v>2221</v>
      </c>
      <c r="AD7" s="23">
        <v>122</v>
      </c>
      <c r="AE7" s="23">
        <v>371</v>
      </c>
      <c r="AF7" s="23">
        <v>102</v>
      </c>
      <c r="AG7" s="23">
        <v>269</v>
      </c>
      <c r="AH7" s="23">
        <v>2566</v>
      </c>
      <c r="AI7" s="23">
        <v>694</v>
      </c>
      <c r="AJ7" s="23">
        <v>139</v>
      </c>
      <c r="AK7" s="23">
        <v>504</v>
      </c>
      <c r="AL7" s="23">
        <v>51</v>
      </c>
      <c r="AM7" s="23">
        <v>1872</v>
      </c>
      <c r="AN7" s="23">
        <v>1345</v>
      </c>
      <c r="AO7" s="23">
        <v>119</v>
      </c>
      <c r="AP7" s="23">
        <v>408</v>
      </c>
      <c r="AQ7" s="23">
        <v>1480</v>
      </c>
      <c r="AR7" s="23">
        <v>1066</v>
      </c>
      <c r="AS7" s="23">
        <v>72</v>
      </c>
      <c r="AT7" s="23">
        <v>341</v>
      </c>
      <c r="AU7" s="23">
        <v>392</v>
      </c>
      <c r="AV7" s="23">
        <v>279</v>
      </c>
      <c r="AW7" s="23">
        <v>47</v>
      </c>
      <c r="AX7" s="23">
        <v>67</v>
      </c>
    </row>
    <row r="8" spans="1:50" ht="12.75" customHeight="1">
      <c r="A8" s="58">
        <v>1961</v>
      </c>
      <c r="B8" s="23">
        <v>29229</v>
      </c>
      <c r="C8" s="23">
        <v>13422</v>
      </c>
      <c r="D8" s="23">
        <v>8187</v>
      </c>
      <c r="E8" s="23">
        <v>6419</v>
      </c>
      <c r="F8" s="23">
        <v>0</v>
      </c>
      <c r="G8" s="23">
        <v>0</v>
      </c>
      <c r="H8" s="23">
        <v>0</v>
      </c>
      <c r="I8" s="23">
        <v>0</v>
      </c>
      <c r="J8" s="23">
        <v>0</v>
      </c>
      <c r="K8" s="23">
        <v>0</v>
      </c>
      <c r="L8" s="23">
        <v>0</v>
      </c>
      <c r="M8" s="23">
        <v>836</v>
      </c>
      <c r="N8" s="23">
        <v>933</v>
      </c>
      <c r="O8" s="23">
        <v>4347</v>
      </c>
      <c r="P8" s="23">
        <v>68</v>
      </c>
      <c r="Q8" s="23">
        <v>346</v>
      </c>
      <c r="R8" s="23">
        <v>0</v>
      </c>
      <c r="S8" s="23">
        <v>644</v>
      </c>
      <c r="T8" s="23">
        <v>110</v>
      </c>
      <c r="U8" s="23">
        <v>172</v>
      </c>
      <c r="V8" s="23">
        <v>44</v>
      </c>
      <c r="W8" s="23">
        <v>127</v>
      </c>
      <c r="X8" s="23">
        <v>22</v>
      </c>
      <c r="Y8" s="23">
        <v>14</v>
      </c>
      <c r="Z8" s="23">
        <v>8</v>
      </c>
      <c r="AA8" s="23">
        <v>447</v>
      </c>
      <c r="AB8" s="23">
        <v>0</v>
      </c>
      <c r="AC8" s="23">
        <v>2398</v>
      </c>
      <c r="AD8" s="23">
        <v>140</v>
      </c>
      <c r="AE8" s="23">
        <v>409</v>
      </c>
      <c r="AF8" s="23">
        <v>108</v>
      </c>
      <c r="AG8" s="23">
        <v>302</v>
      </c>
      <c r="AH8" s="23">
        <v>2863</v>
      </c>
      <c r="AI8" s="23">
        <v>886</v>
      </c>
      <c r="AJ8" s="23">
        <v>147</v>
      </c>
      <c r="AK8" s="23">
        <v>680</v>
      </c>
      <c r="AL8" s="23">
        <v>58</v>
      </c>
      <c r="AM8" s="23">
        <v>1977</v>
      </c>
      <c r="AN8" s="23">
        <v>1479</v>
      </c>
      <c r="AO8" s="23">
        <v>121</v>
      </c>
      <c r="AP8" s="23">
        <v>377</v>
      </c>
      <c r="AQ8" s="23">
        <v>1544</v>
      </c>
      <c r="AR8" s="23">
        <v>1163</v>
      </c>
      <c r="AS8" s="23">
        <v>71</v>
      </c>
      <c r="AT8" s="23">
        <v>310</v>
      </c>
      <c r="AU8" s="23">
        <v>433</v>
      </c>
      <c r="AV8" s="23">
        <v>317</v>
      </c>
      <c r="AW8" s="23">
        <v>50</v>
      </c>
      <c r="AX8" s="23">
        <v>67</v>
      </c>
    </row>
    <row r="9" spans="1:50" ht="12.75" customHeight="1">
      <c r="A9" s="58">
        <v>1962</v>
      </c>
      <c r="B9" s="23">
        <v>31907</v>
      </c>
      <c r="C9" s="23">
        <v>14299</v>
      </c>
      <c r="D9" s="23">
        <v>8935</v>
      </c>
      <c r="E9" s="23">
        <v>7113</v>
      </c>
      <c r="F9" s="23">
        <v>0</v>
      </c>
      <c r="G9" s="23">
        <v>0</v>
      </c>
      <c r="H9" s="23">
        <v>0</v>
      </c>
      <c r="I9" s="23">
        <v>0</v>
      </c>
      <c r="J9" s="23">
        <v>0</v>
      </c>
      <c r="K9" s="23">
        <v>0</v>
      </c>
      <c r="L9" s="23">
        <v>0</v>
      </c>
      <c r="M9" s="23">
        <v>860</v>
      </c>
      <c r="N9" s="23">
        <v>961</v>
      </c>
      <c r="O9" s="23">
        <v>4723</v>
      </c>
      <c r="P9" s="23">
        <v>74</v>
      </c>
      <c r="Q9" s="23">
        <v>384</v>
      </c>
      <c r="R9" s="23">
        <v>0</v>
      </c>
      <c r="S9" s="23">
        <v>705</v>
      </c>
      <c r="T9" s="23">
        <v>102</v>
      </c>
      <c r="U9" s="23">
        <v>180</v>
      </c>
      <c r="V9" s="23">
        <v>48</v>
      </c>
      <c r="W9" s="23">
        <v>133</v>
      </c>
      <c r="X9" s="23">
        <v>25</v>
      </c>
      <c r="Y9" s="23">
        <v>15</v>
      </c>
      <c r="Z9" s="23">
        <v>10</v>
      </c>
      <c r="AA9" s="23">
        <v>598</v>
      </c>
      <c r="AB9" s="23">
        <v>0</v>
      </c>
      <c r="AC9" s="23">
        <v>2510</v>
      </c>
      <c r="AD9" s="23">
        <v>147</v>
      </c>
      <c r="AE9" s="23">
        <v>456</v>
      </c>
      <c r="AF9" s="23">
        <v>140</v>
      </c>
      <c r="AG9" s="23">
        <v>316</v>
      </c>
      <c r="AH9" s="23">
        <v>3493</v>
      </c>
      <c r="AI9" s="23">
        <v>1068</v>
      </c>
      <c r="AJ9" s="23">
        <v>153</v>
      </c>
      <c r="AK9" s="23">
        <v>849</v>
      </c>
      <c r="AL9" s="23">
        <v>66</v>
      </c>
      <c r="AM9" s="23">
        <v>2425</v>
      </c>
      <c r="AN9" s="23">
        <v>1887</v>
      </c>
      <c r="AO9" s="23">
        <v>126</v>
      </c>
      <c r="AP9" s="23">
        <v>412</v>
      </c>
      <c r="AQ9" s="23">
        <v>1918</v>
      </c>
      <c r="AR9" s="23">
        <v>1509</v>
      </c>
      <c r="AS9" s="23">
        <v>71</v>
      </c>
      <c r="AT9" s="23">
        <v>338</v>
      </c>
      <c r="AU9" s="23">
        <v>507</v>
      </c>
      <c r="AV9" s="23">
        <v>378</v>
      </c>
      <c r="AW9" s="23">
        <v>55</v>
      </c>
      <c r="AX9" s="23">
        <v>74</v>
      </c>
    </row>
    <row r="10" spans="1:50" ht="12.75" customHeight="1">
      <c r="A10" s="58">
        <v>1963</v>
      </c>
      <c r="B10" s="23">
        <v>34727</v>
      </c>
      <c r="C10" s="23">
        <v>15361</v>
      </c>
      <c r="D10" s="23">
        <v>9827</v>
      </c>
      <c r="E10" s="23">
        <v>7887</v>
      </c>
      <c r="F10" s="23">
        <v>0</v>
      </c>
      <c r="G10" s="23">
        <v>0</v>
      </c>
      <c r="H10" s="23">
        <v>0</v>
      </c>
      <c r="I10" s="23">
        <v>0</v>
      </c>
      <c r="J10" s="23">
        <v>0</v>
      </c>
      <c r="K10" s="23">
        <v>0</v>
      </c>
      <c r="L10" s="23">
        <v>0</v>
      </c>
      <c r="M10" s="23">
        <v>925</v>
      </c>
      <c r="N10" s="23">
        <v>1015</v>
      </c>
      <c r="O10" s="23">
        <v>5227</v>
      </c>
      <c r="P10" s="23">
        <v>81</v>
      </c>
      <c r="Q10" s="23">
        <v>441</v>
      </c>
      <c r="R10" s="23">
        <v>0</v>
      </c>
      <c r="S10" s="23">
        <v>742</v>
      </c>
      <c r="T10" s="23">
        <v>103</v>
      </c>
      <c r="U10" s="23">
        <v>201</v>
      </c>
      <c r="V10" s="23">
        <v>50</v>
      </c>
      <c r="W10" s="23">
        <v>150</v>
      </c>
      <c r="X10" s="23">
        <v>29</v>
      </c>
      <c r="Y10" s="23">
        <v>18</v>
      </c>
      <c r="Z10" s="23">
        <v>11</v>
      </c>
      <c r="AA10" s="23">
        <v>715</v>
      </c>
      <c r="AB10" s="23">
        <v>0</v>
      </c>
      <c r="AC10" s="23">
        <v>2772</v>
      </c>
      <c r="AD10" s="23">
        <v>143</v>
      </c>
      <c r="AE10" s="23">
        <v>509</v>
      </c>
      <c r="AF10" s="23">
        <v>208</v>
      </c>
      <c r="AG10" s="23">
        <v>301</v>
      </c>
      <c r="AH10" s="23">
        <v>3802</v>
      </c>
      <c r="AI10" s="23">
        <v>1219</v>
      </c>
      <c r="AJ10" s="23">
        <v>162</v>
      </c>
      <c r="AK10" s="23">
        <v>983</v>
      </c>
      <c r="AL10" s="23">
        <v>74</v>
      </c>
      <c r="AM10" s="23">
        <v>2582</v>
      </c>
      <c r="AN10" s="23">
        <v>1961</v>
      </c>
      <c r="AO10" s="23">
        <v>203</v>
      </c>
      <c r="AP10" s="23">
        <v>418</v>
      </c>
      <c r="AQ10" s="23">
        <v>1923</v>
      </c>
      <c r="AR10" s="23">
        <v>1505</v>
      </c>
      <c r="AS10" s="23">
        <v>85</v>
      </c>
      <c r="AT10" s="23">
        <v>333</v>
      </c>
      <c r="AU10" s="23">
        <v>659</v>
      </c>
      <c r="AV10" s="23">
        <v>456</v>
      </c>
      <c r="AW10" s="23">
        <v>118</v>
      </c>
      <c r="AX10" s="23">
        <v>85</v>
      </c>
    </row>
    <row r="11" spans="1:50" ht="12.75" customHeight="1">
      <c r="A11" s="58">
        <v>1964</v>
      </c>
      <c r="B11" s="23">
        <v>38544</v>
      </c>
      <c r="C11" s="23">
        <v>16981</v>
      </c>
      <c r="D11" s="23">
        <v>10900</v>
      </c>
      <c r="E11" s="23">
        <v>8982</v>
      </c>
      <c r="F11" s="23">
        <v>0</v>
      </c>
      <c r="G11" s="23">
        <v>0</v>
      </c>
      <c r="H11" s="23">
        <v>0</v>
      </c>
      <c r="I11" s="23">
        <v>0</v>
      </c>
      <c r="J11" s="23">
        <v>0</v>
      </c>
      <c r="K11" s="23">
        <v>0</v>
      </c>
      <c r="L11" s="23">
        <v>0</v>
      </c>
      <c r="M11" s="23">
        <v>861</v>
      </c>
      <c r="N11" s="23">
        <v>1058</v>
      </c>
      <c r="O11" s="23">
        <v>5682</v>
      </c>
      <c r="P11" s="23">
        <v>90</v>
      </c>
      <c r="Q11" s="23">
        <v>509</v>
      </c>
      <c r="R11" s="23">
        <v>0</v>
      </c>
      <c r="S11" s="23">
        <v>807</v>
      </c>
      <c r="T11" s="23">
        <v>112</v>
      </c>
      <c r="U11" s="23">
        <v>220</v>
      </c>
      <c r="V11" s="23">
        <v>60</v>
      </c>
      <c r="W11" s="23">
        <v>159</v>
      </c>
      <c r="X11" s="23">
        <v>33</v>
      </c>
      <c r="Y11" s="23">
        <v>20</v>
      </c>
      <c r="Z11" s="23">
        <v>13</v>
      </c>
      <c r="AA11" s="23">
        <v>750</v>
      </c>
      <c r="AB11" s="23">
        <v>0</v>
      </c>
      <c r="AC11" s="23">
        <v>3012</v>
      </c>
      <c r="AD11" s="23">
        <v>151</v>
      </c>
      <c r="AE11" s="23">
        <v>572</v>
      </c>
      <c r="AF11" s="23">
        <v>226</v>
      </c>
      <c r="AG11" s="23">
        <v>347</v>
      </c>
      <c r="AH11" s="23">
        <v>4408</v>
      </c>
      <c r="AI11" s="23">
        <v>1366</v>
      </c>
      <c r="AJ11" s="23">
        <v>170</v>
      </c>
      <c r="AK11" s="23">
        <v>1112</v>
      </c>
      <c r="AL11" s="23">
        <v>84</v>
      </c>
      <c r="AM11" s="23">
        <v>3042</v>
      </c>
      <c r="AN11" s="23">
        <v>2356</v>
      </c>
      <c r="AO11" s="23">
        <v>229</v>
      </c>
      <c r="AP11" s="23">
        <v>457</v>
      </c>
      <c r="AQ11" s="23">
        <v>2340</v>
      </c>
      <c r="AR11" s="23">
        <v>1886</v>
      </c>
      <c r="AS11" s="23">
        <v>92</v>
      </c>
      <c r="AT11" s="23">
        <v>363</v>
      </c>
      <c r="AU11" s="23">
        <v>702</v>
      </c>
      <c r="AV11" s="23">
        <v>470</v>
      </c>
      <c r="AW11" s="23">
        <v>137</v>
      </c>
      <c r="AX11" s="23">
        <v>94</v>
      </c>
    </row>
    <row r="12" spans="1:50" ht="12.75" customHeight="1">
      <c r="A12" s="58">
        <v>1965</v>
      </c>
      <c r="B12" s="23">
        <v>41957</v>
      </c>
      <c r="C12" s="23">
        <v>18262</v>
      </c>
      <c r="D12" s="23">
        <v>11951</v>
      </c>
      <c r="E12" s="23">
        <v>10000</v>
      </c>
      <c r="F12" s="23">
        <v>0</v>
      </c>
      <c r="G12" s="23">
        <v>0</v>
      </c>
      <c r="H12" s="23">
        <v>0</v>
      </c>
      <c r="I12" s="23">
        <v>0</v>
      </c>
      <c r="J12" s="23">
        <v>0</v>
      </c>
      <c r="K12" s="23">
        <v>0</v>
      </c>
      <c r="L12" s="23">
        <v>0</v>
      </c>
      <c r="M12" s="23">
        <v>831</v>
      </c>
      <c r="N12" s="23">
        <v>1119</v>
      </c>
      <c r="O12" s="23">
        <v>6359</v>
      </c>
      <c r="P12" s="23">
        <v>99</v>
      </c>
      <c r="Q12" s="23">
        <v>595</v>
      </c>
      <c r="R12" s="23">
        <v>0</v>
      </c>
      <c r="S12" s="23">
        <v>870</v>
      </c>
      <c r="T12" s="23">
        <v>122</v>
      </c>
      <c r="U12" s="23">
        <v>244</v>
      </c>
      <c r="V12" s="23">
        <v>80</v>
      </c>
      <c r="W12" s="23">
        <v>164</v>
      </c>
      <c r="X12" s="23">
        <v>41</v>
      </c>
      <c r="Y12" s="23">
        <v>27</v>
      </c>
      <c r="Z12" s="23">
        <v>15</v>
      </c>
      <c r="AA12" s="23">
        <v>831</v>
      </c>
      <c r="AB12" s="23">
        <v>0</v>
      </c>
      <c r="AC12" s="23">
        <v>3389</v>
      </c>
      <c r="AD12" s="23">
        <v>168</v>
      </c>
      <c r="AE12" s="23">
        <v>621</v>
      </c>
      <c r="AF12" s="23">
        <v>214</v>
      </c>
      <c r="AG12" s="23">
        <v>407</v>
      </c>
      <c r="AH12" s="23">
        <v>4765</v>
      </c>
      <c r="AI12" s="23">
        <v>1521</v>
      </c>
      <c r="AJ12" s="23">
        <v>176</v>
      </c>
      <c r="AK12" s="23">
        <v>1251</v>
      </c>
      <c r="AL12" s="23">
        <v>94</v>
      </c>
      <c r="AM12" s="23">
        <v>3244</v>
      </c>
      <c r="AN12" s="23">
        <v>2532</v>
      </c>
      <c r="AO12" s="23">
        <v>210</v>
      </c>
      <c r="AP12" s="23">
        <v>502</v>
      </c>
      <c r="AQ12" s="23">
        <v>2553</v>
      </c>
      <c r="AR12" s="23">
        <v>2035</v>
      </c>
      <c r="AS12" s="23">
        <v>120</v>
      </c>
      <c r="AT12" s="23">
        <v>397</v>
      </c>
      <c r="AU12" s="23">
        <v>691</v>
      </c>
      <c r="AV12" s="23">
        <v>496</v>
      </c>
      <c r="AW12" s="23">
        <v>90</v>
      </c>
      <c r="AX12" s="23">
        <v>105</v>
      </c>
    </row>
    <row r="13" spans="1:50" ht="12.75" customHeight="1">
      <c r="A13" s="58">
        <v>1966</v>
      </c>
      <c r="B13" s="23">
        <v>46254</v>
      </c>
      <c r="C13" s="23">
        <v>18647</v>
      </c>
      <c r="D13" s="23">
        <v>15600</v>
      </c>
      <c r="E13" s="23">
        <v>10223</v>
      </c>
      <c r="F13" s="23">
        <v>1842</v>
      </c>
      <c r="G13" s="23">
        <v>1304</v>
      </c>
      <c r="H13" s="23">
        <v>632</v>
      </c>
      <c r="I13" s="23">
        <v>672</v>
      </c>
      <c r="J13" s="23">
        <v>0</v>
      </c>
      <c r="K13" s="23">
        <v>0</v>
      </c>
      <c r="L13" s="23">
        <v>0</v>
      </c>
      <c r="M13" s="23">
        <v>1078</v>
      </c>
      <c r="N13" s="23">
        <v>1153</v>
      </c>
      <c r="O13" s="23">
        <v>6252</v>
      </c>
      <c r="P13" s="23">
        <v>112</v>
      </c>
      <c r="Q13" s="23">
        <v>689</v>
      </c>
      <c r="R13" s="23">
        <v>0</v>
      </c>
      <c r="S13" s="23">
        <v>991</v>
      </c>
      <c r="T13" s="23">
        <v>182</v>
      </c>
      <c r="U13" s="23">
        <v>291</v>
      </c>
      <c r="V13" s="23">
        <v>114</v>
      </c>
      <c r="W13" s="23">
        <v>176</v>
      </c>
      <c r="X13" s="23">
        <v>58</v>
      </c>
      <c r="Y13" s="23">
        <v>42</v>
      </c>
      <c r="Z13" s="23">
        <v>16</v>
      </c>
      <c r="AA13" s="23">
        <v>653</v>
      </c>
      <c r="AB13" s="23">
        <v>0</v>
      </c>
      <c r="AC13" s="23">
        <v>3090</v>
      </c>
      <c r="AD13" s="23">
        <v>187</v>
      </c>
      <c r="AE13" s="23">
        <v>733</v>
      </c>
      <c r="AF13" s="23">
        <v>294</v>
      </c>
      <c r="AG13" s="23">
        <v>439</v>
      </c>
      <c r="AH13" s="23">
        <v>5021</v>
      </c>
      <c r="AI13" s="23">
        <v>1624</v>
      </c>
      <c r="AJ13" s="23">
        <v>186</v>
      </c>
      <c r="AK13" s="23">
        <v>1335</v>
      </c>
      <c r="AL13" s="23">
        <v>103</v>
      </c>
      <c r="AM13" s="23">
        <v>3397</v>
      </c>
      <c r="AN13" s="23">
        <v>2623</v>
      </c>
      <c r="AO13" s="23">
        <v>237</v>
      </c>
      <c r="AP13" s="23">
        <v>537</v>
      </c>
      <c r="AQ13" s="23">
        <v>2558</v>
      </c>
      <c r="AR13" s="23">
        <v>2079</v>
      </c>
      <c r="AS13" s="23">
        <v>103</v>
      </c>
      <c r="AT13" s="23">
        <v>377</v>
      </c>
      <c r="AU13" s="23">
        <v>838</v>
      </c>
      <c r="AV13" s="23">
        <v>544</v>
      </c>
      <c r="AW13" s="23">
        <v>134</v>
      </c>
      <c r="AX13" s="23">
        <v>160</v>
      </c>
    </row>
    <row r="14" spans="1:50" ht="12.75" customHeight="1">
      <c r="A14" s="58">
        <v>1967</v>
      </c>
      <c r="B14" s="23">
        <v>51780</v>
      </c>
      <c r="C14" s="23">
        <v>18587</v>
      </c>
      <c r="D14" s="23">
        <v>21039</v>
      </c>
      <c r="E14" s="23">
        <v>10382</v>
      </c>
      <c r="F14" s="23">
        <v>4924</v>
      </c>
      <c r="G14" s="23">
        <v>3141</v>
      </c>
      <c r="H14" s="23">
        <v>1525</v>
      </c>
      <c r="I14" s="23">
        <v>1616</v>
      </c>
      <c r="J14" s="23">
        <v>0</v>
      </c>
      <c r="K14" s="23">
        <v>0</v>
      </c>
      <c r="L14" s="23">
        <v>0</v>
      </c>
      <c r="M14" s="23">
        <v>1324</v>
      </c>
      <c r="N14" s="23">
        <v>1268</v>
      </c>
      <c r="O14" s="23">
        <v>6023</v>
      </c>
      <c r="P14" s="23">
        <v>132</v>
      </c>
      <c r="Q14" s="23">
        <v>805</v>
      </c>
      <c r="R14" s="23">
        <v>0</v>
      </c>
      <c r="S14" s="23">
        <v>1100</v>
      </c>
      <c r="T14" s="23">
        <v>240</v>
      </c>
      <c r="U14" s="23">
        <v>324</v>
      </c>
      <c r="V14" s="23">
        <v>142</v>
      </c>
      <c r="W14" s="23">
        <v>182</v>
      </c>
      <c r="X14" s="23">
        <v>88</v>
      </c>
      <c r="Y14" s="23">
        <v>66</v>
      </c>
      <c r="Z14" s="23">
        <v>22</v>
      </c>
      <c r="AA14" s="23">
        <v>463</v>
      </c>
      <c r="AB14" s="23">
        <v>0</v>
      </c>
      <c r="AC14" s="23">
        <v>2656</v>
      </c>
      <c r="AD14" s="23">
        <v>215</v>
      </c>
      <c r="AE14" s="23">
        <v>861</v>
      </c>
      <c r="AF14" s="23">
        <v>401</v>
      </c>
      <c r="AG14" s="23">
        <v>460</v>
      </c>
      <c r="AH14" s="23">
        <v>5269</v>
      </c>
      <c r="AI14" s="23">
        <v>1775</v>
      </c>
      <c r="AJ14" s="23">
        <v>198</v>
      </c>
      <c r="AK14" s="23">
        <v>1466</v>
      </c>
      <c r="AL14" s="23">
        <v>111</v>
      </c>
      <c r="AM14" s="23">
        <v>3495</v>
      </c>
      <c r="AN14" s="23">
        <v>2546</v>
      </c>
      <c r="AO14" s="23">
        <v>207</v>
      </c>
      <c r="AP14" s="23">
        <v>742</v>
      </c>
      <c r="AQ14" s="23">
        <v>2522</v>
      </c>
      <c r="AR14" s="23">
        <v>1945</v>
      </c>
      <c r="AS14" s="23">
        <v>43</v>
      </c>
      <c r="AT14" s="23">
        <v>534</v>
      </c>
      <c r="AU14" s="23">
        <v>973</v>
      </c>
      <c r="AV14" s="23">
        <v>600</v>
      </c>
      <c r="AW14" s="23">
        <v>164</v>
      </c>
      <c r="AX14" s="23">
        <v>208</v>
      </c>
    </row>
    <row r="15" spans="1:50" ht="12.75" customHeight="1">
      <c r="A15" s="58">
        <v>1968</v>
      </c>
      <c r="B15" s="23">
        <v>58755</v>
      </c>
      <c r="C15" s="23">
        <v>20628</v>
      </c>
      <c r="D15" s="23">
        <v>24302</v>
      </c>
      <c r="E15" s="23">
        <v>11754</v>
      </c>
      <c r="F15" s="23">
        <v>6218</v>
      </c>
      <c r="G15" s="23">
        <v>3541</v>
      </c>
      <c r="H15" s="23">
        <v>1835</v>
      </c>
      <c r="I15" s="23">
        <v>1707</v>
      </c>
      <c r="J15" s="23">
        <v>0</v>
      </c>
      <c r="K15" s="23">
        <v>0</v>
      </c>
      <c r="L15" s="23">
        <v>0</v>
      </c>
      <c r="M15" s="23">
        <v>1445</v>
      </c>
      <c r="N15" s="23">
        <v>1344</v>
      </c>
      <c r="O15" s="23">
        <v>6871</v>
      </c>
      <c r="P15" s="23">
        <v>150</v>
      </c>
      <c r="Q15" s="23">
        <v>1017</v>
      </c>
      <c r="R15" s="23">
        <v>0</v>
      </c>
      <c r="S15" s="23">
        <v>1244</v>
      </c>
      <c r="T15" s="23">
        <v>299</v>
      </c>
      <c r="U15" s="23">
        <v>377</v>
      </c>
      <c r="V15" s="23">
        <v>167</v>
      </c>
      <c r="W15" s="23">
        <v>210</v>
      </c>
      <c r="X15" s="23">
        <v>115</v>
      </c>
      <c r="Y15" s="23">
        <v>86</v>
      </c>
      <c r="Z15" s="23">
        <v>29</v>
      </c>
      <c r="AA15" s="23">
        <v>489</v>
      </c>
      <c r="AB15" s="23">
        <v>0</v>
      </c>
      <c r="AC15" s="23">
        <v>2937</v>
      </c>
      <c r="AD15" s="23">
        <v>242</v>
      </c>
      <c r="AE15" s="23">
        <v>969</v>
      </c>
      <c r="AF15" s="23">
        <v>470</v>
      </c>
      <c r="AG15" s="23">
        <v>499</v>
      </c>
      <c r="AH15" s="23">
        <v>5984</v>
      </c>
      <c r="AI15" s="23">
        <v>1877</v>
      </c>
      <c r="AJ15" s="23">
        <v>208</v>
      </c>
      <c r="AK15" s="23">
        <v>1539</v>
      </c>
      <c r="AL15" s="23">
        <v>130</v>
      </c>
      <c r="AM15" s="23">
        <v>4107</v>
      </c>
      <c r="AN15" s="23">
        <v>2973</v>
      </c>
      <c r="AO15" s="23">
        <v>290</v>
      </c>
      <c r="AP15" s="23">
        <v>844</v>
      </c>
      <c r="AQ15" s="23">
        <v>2986</v>
      </c>
      <c r="AR15" s="23">
        <v>2306</v>
      </c>
      <c r="AS15" s="23">
        <v>58</v>
      </c>
      <c r="AT15" s="23">
        <v>622</v>
      </c>
      <c r="AU15" s="23">
        <v>1122</v>
      </c>
      <c r="AV15" s="23">
        <v>667</v>
      </c>
      <c r="AW15" s="23">
        <v>232</v>
      </c>
      <c r="AX15" s="23">
        <v>222</v>
      </c>
    </row>
    <row r="16" spans="1:50" ht="12.75" customHeight="1">
      <c r="A16" s="58">
        <v>1969</v>
      </c>
      <c r="B16" s="23">
        <v>66215</v>
      </c>
      <c r="C16" s="23">
        <v>22657</v>
      </c>
      <c r="D16" s="23">
        <v>27490</v>
      </c>
      <c r="E16" s="23">
        <v>13287</v>
      </c>
      <c r="F16" s="23">
        <v>7045</v>
      </c>
      <c r="G16" s="23">
        <v>4174</v>
      </c>
      <c r="H16" s="23">
        <v>2298</v>
      </c>
      <c r="I16" s="23">
        <v>1877</v>
      </c>
      <c r="J16" s="23">
        <v>0</v>
      </c>
      <c r="K16" s="23">
        <v>0</v>
      </c>
      <c r="L16" s="23">
        <v>0</v>
      </c>
      <c r="M16" s="23">
        <v>1499</v>
      </c>
      <c r="N16" s="23">
        <v>1484</v>
      </c>
      <c r="O16" s="23">
        <v>7789</v>
      </c>
      <c r="P16" s="23">
        <v>174</v>
      </c>
      <c r="Q16" s="23">
        <v>1218</v>
      </c>
      <c r="R16" s="23">
        <v>0</v>
      </c>
      <c r="S16" s="23">
        <v>1372</v>
      </c>
      <c r="T16" s="23">
        <v>359</v>
      </c>
      <c r="U16" s="23">
        <v>435</v>
      </c>
      <c r="V16" s="23">
        <v>190</v>
      </c>
      <c r="W16" s="23">
        <v>244</v>
      </c>
      <c r="X16" s="23">
        <v>131</v>
      </c>
      <c r="Y16" s="23">
        <v>100</v>
      </c>
      <c r="Z16" s="23">
        <v>31</v>
      </c>
      <c r="AA16" s="23">
        <v>621</v>
      </c>
      <c r="AB16" s="23">
        <v>0</v>
      </c>
      <c r="AC16" s="23">
        <v>3217</v>
      </c>
      <c r="AD16" s="23">
        <v>263</v>
      </c>
      <c r="AE16" s="23">
        <v>1174</v>
      </c>
      <c r="AF16" s="23">
        <v>564</v>
      </c>
      <c r="AG16" s="23">
        <v>610</v>
      </c>
      <c r="AH16" s="23">
        <v>7105</v>
      </c>
      <c r="AI16" s="23">
        <v>1924</v>
      </c>
      <c r="AJ16" s="23">
        <v>213</v>
      </c>
      <c r="AK16" s="23">
        <v>1555</v>
      </c>
      <c r="AL16" s="23">
        <v>156</v>
      </c>
      <c r="AM16" s="23">
        <v>5181</v>
      </c>
      <c r="AN16" s="23">
        <v>3892</v>
      </c>
      <c r="AO16" s="23">
        <v>324</v>
      </c>
      <c r="AP16" s="23">
        <v>965</v>
      </c>
      <c r="AQ16" s="23">
        <v>3945</v>
      </c>
      <c r="AR16" s="23">
        <v>3177</v>
      </c>
      <c r="AS16" s="23">
        <v>67</v>
      </c>
      <c r="AT16" s="23">
        <v>701</v>
      </c>
      <c r="AU16" s="23">
        <v>1236</v>
      </c>
      <c r="AV16" s="23">
        <v>715</v>
      </c>
      <c r="AW16" s="23">
        <v>257</v>
      </c>
      <c r="AX16" s="23">
        <v>264</v>
      </c>
    </row>
    <row r="17" spans="1:50" ht="18" customHeight="1">
      <c r="A17" s="58">
        <v>1970</v>
      </c>
      <c r="B17" s="23">
        <v>74853</v>
      </c>
      <c r="C17" s="23">
        <v>25015</v>
      </c>
      <c r="D17" s="23">
        <v>31688</v>
      </c>
      <c r="E17" s="23">
        <v>15424</v>
      </c>
      <c r="F17" s="23">
        <v>7672</v>
      </c>
      <c r="G17" s="23">
        <v>5290</v>
      </c>
      <c r="H17" s="23">
        <v>2842</v>
      </c>
      <c r="I17" s="23">
        <v>2447</v>
      </c>
      <c r="J17" s="23">
        <v>0</v>
      </c>
      <c r="K17" s="23">
        <v>0</v>
      </c>
      <c r="L17" s="23">
        <v>0</v>
      </c>
      <c r="M17" s="23">
        <v>1582</v>
      </c>
      <c r="N17" s="23">
        <v>1719</v>
      </c>
      <c r="O17" s="23">
        <v>9012</v>
      </c>
      <c r="P17" s="23">
        <v>200</v>
      </c>
      <c r="Q17" s="23">
        <v>1501</v>
      </c>
      <c r="R17" s="23">
        <v>0</v>
      </c>
      <c r="S17" s="23">
        <v>1532</v>
      </c>
      <c r="T17" s="23">
        <v>417</v>
      </c>
      <c r="U17" s="23">
        <v>409</v>
      </c>
      <c r="V17" s="23">
        <v>148</v>
      </c>
      <c r="W17" s="23">
        <v>261</v>
      </c>
      <c r="X17" s="23">
        <v>155</v>
      </c>
      <c r="Y17" s="23">
        <v>121</v>
      </c>
      <c r="Z17" s="23">
        <v>34</v>
      </c>
      <c r="AA17" s="23">
        <v>927</v>
      </c>
      <c r="AB17" s="23">
        <v>0</v>
      </c>
      <c r="AC17" s="23">
        <v>3580</v>
      </c>
      <c r="AD17" s="23">
        <v>290</v>
      </c>
      <c r="AE17" s="23">
        <v>1356</v>
      </c>
      <c r="AF17" s="23">
        <v>594</v>
      </c>
      <c r="AG17" s="23">
        <v>762</v>
      </c>
      <c r="AH17" s="23">
        <v>7783</v>
      </c>
      <c r="AI17" s="23">
        <v>1953</v>
      </c>
      <c r="AJ17" s="23">
        <v>215</v>
      </c>
      <c r="AK17" s="23">
        <v>1556</v>
      </c>
      <c r="AL17" s="23">
        <v>183</v>
      </c>
      <c r="AM17" s="23">
        <v>5830</v>
      </c>
      <c r="AN17" s="23">
        <v>4469</v>
      </c>
      <c r="AO17" s="23">
        <v>352</v>
      </c>
      <c r="AP17" s="23">
        <v>1009</v>
      </c>
      <c r="AQ17" s="23">
        <v>4523</v>
      </c>
      <c r="AR17" s="23">
        <v>3731</v>
      </c>
      <c r="AS17" s="23">
        <v>93</v>
      </c>
      <c r="AT17" s="23">
        <v>700</v>
      </c>
      <c r="AU17" s="23">
        <v>1306</v>
      </c>
      <c r="AV17" s="23">
        <v>738</v>
      </c>
      <c r="AW17" s="23">
        <v>259</v>
      </c>
      <c r="AX17" s="23">
        <v>309</v>
      </c>
    </row>
    <row r="18" spans="1:50" ht="12.75" customHeight="1">
      <c r="A18" s="58">
        <v>1971</v>
      </c>
      <c r="B18" s="23">
        <v>83240</v>
      </c>
      <c r="C18" s="23">
        <v>26380</v>
      </c>
      <c r="D18" s="23">
        <v>36644</v>
      </c>
      <c r="E18" s="23">
        <v>17757</v>
      </c>
      <c r="F18" s="23">
        <v>8443</v>
      </c>
      <c r="G18" s="23">
        <v>6695</v>
      </c>
      <c r="H18" s="23">
        <v>3810</v>
      </c>
      <c r="I18" s="23">
        <v>2886</v>
      </c>
      <c r="J18" s="23">
        <v>0</v>
      </c>
      <c r="K18" s="23">
        <v>0</v>
      </c>
      <c r="L18" s="23">
        <v>0</v>
      </c>
      <c r="M18" s="23">
        <v>1766</v>
      </c>
      <c r="N18" s="23">
        <v>1983</v>
      </c>
      <c r="O18" s="23">
        <v>9666</v>
      </c>
      <c r="P18" s="23">
        <v>221</v>
      </c>
      <c r="Q18" s="23">
        <v>1684</v>
      </c>
      <c r="R18" s="23">
        <v>0</v>
      </c>
      <c r="S18" s="23">
        <v>1570</v>
      </c>
      <c r="T18" s="23">
        <v>477</v>
      </c>
      <c r="U18" s="23">
        <v>453</v>
      </c>
      <c r="V18" s="23">
        <v>191</v>
      </c>
      <c r="W18" s="23">
        <v>263</v>
      </c>
      <c r="X18" s="23">
        <v>180</v>
      </c>
      <c r="Y18" s="23">
        <v>140</v>
      </c>
      <c r="Z18" s="23">
        <v>40</v>
      </c>
      <c r="AA18" s="23">
        <v>1102</v>
      </c>
      <c r="AB18" s="23">
        <v>0</v>
      </c>
      <c r="AC18" s="23">
        <v>3671</v>
      </c>
      <c r="AD18" s="23">
        <v>308</v>
      </c>
      <c r="AE18" s="23">
        <v>1676</v>
      </c>
      <c r="AF18" s="23">
        <v>791</v>
      </c>
      <c r="AG18" s="23">
        <v>885</v>
      </c>
      <c r="AH18" s="23">
        <v>8874</v>
      </c>
      <c r="AI18" s="23">
        <v>2109</v>
      </c>
      <c r="AJ18" s="23">
        <v>233</v>
      </c>
      <c r="AK18" s="23">
        <v>1663</v>
      </c>
      <c r="AL18" s="23">
        <v>213</v>
      </c>
      <c r="AM18" s="23">
        <v>6765</v>
      </c>
      <c r="AN18" s="23">
        <v>5035</v>
      </c>
      <c r="AO18" s="23">
        <v>345</v>
      </c>
      <c r="AP18" s="23">
        <v>1385</v>
      </c>
      <c r="AQ18" s="23">
        <v>5193</v>
      </c>
      <c r="AR18" s="23">
        <v>4242</v>
      </c>
      <c r="AS18" s="23">
        <v>129</v>
      </c>
      <c r="AT18" s="23">
        <v>821</v>
      </c>
      <c r="AU18" s="23">
        <v>1573</v>
      </c>
      <c r="AV18" s="23">
        <v>793</v>
      </c>
      <c r="AW18" s="23">
        <v>216</v>
      </c>
      <c r="AX18" s="23">
        <v>564</v>
      </c>
    </row>
    <row r="19" spans="1:50" ht="12.75" customHeight="1">
      <c r="A19" s="58">
        <v>1972</v>
      </c>
      <c r="B19" s="23">
        <v>93141</v>
      </c>
      <c r="C19" s="23">
        <v>28724</v>
      </c>
      <c r="D19" s="23">
        <v>42519</v>
      </c>
      <c r="E19" s="23">
        <v>20593</v>
      </c>
      <c r="F19" s="23">
        <v>9325</v>
      </c>
      <c r="G19" s="23">
        <v>8314</v>
      </c>
      <c r="H19" s="23">
        <v>4547</v>
      </c>
      <c r="I19" s="23">
        <v>3766</v>
      </c>
      <c r="J19" s="23">
        <v>0</v>
      </c>
      <c r="K19" s="23">
        <v>0</v>
      </c>
      <c r="L19" s="23">
        <v>0</v>
      </c>
      <c r="M19" s="23">
        <v>1997</v>
      </c>
      <c r="N19" s="23">
        <v>2291</v>
      </c>
      <c r="O19" s="23">
        <v>10277</v>
      </c>
      <c r="P19" s="23">
        <v>250</v>
      </c>
      <c r="Q19" s="23">
        <v>1952</v>
      </c>
      <c r="R19" s="23">
        <v>0</v>
      </c>
      <c r="S19" s="23">
        <v>1715</v>
      </c>
      <c r="T19" s="23">
        <v>582</v>
      </c>
      <c r="U19" s="23">
        <v>482</v>
      </c>
      <c r="V19" s="23">
        <v>234</v>
      </c>
      <c r="W19" s="23">
        <v>248</v>
      </c>
      <c r="X19" s="23">
        <v>184</v>
      </c>
      <c r="Y19" s="23">
        <v>144</v>
      </c>
      <c r="Z19" s="23">
        <v>40</v>
      </c>
      <c r="AA19" s="23">
        <v>963</v>
      </c>
      <c r="AB19" s="23">
        <v>0</v>
      </c>
      <c r="AC19" s="23">
        <v>3827</v>
      </c>
      <c r="AD19" s="23">
        <v>321</v>
      </c>
      <c r="AE19" s="23">
        <v>1855</v>
      </c>
      <c r="AF19" s="23">
        <v>893</v>
      </c>
      <c r="AG19" s="23">
        <v>962</v>
      </c>
      <c r="AH19" s="23">
        <v>9765</v>
      </c>
      <c r="AI19" s="23">
        <v>2357</v>
      </c>
      <c r="AJ19" s="23">
        <v>227</v>
      </c>
      <c r="AK19" s="23">
        <v>1893</v>
      </c>
      <c r="AL19" s="23">
        <v>237</v>
      </c>
      <c r="AM19" s="23">
        <v>7408</v>
      </c>
      <c r="AN19" s="23">
        <v>5634</v>
      </c>
      <c r="AO19" s="23">
        <v>407</v>
      </c>
      <c r="AP19" s="23">
        <v>1367</v>
      </c>
      <c r="AQ19" s="23">
        <v>5686</v>
      </c>
      <c r="AR19" s="23">
        <v>4730</v>
      </c>
      <c r="AS19" s="23">
        <v>116</v>
      </c>
      <c r="AT19" s="23">
        <v>840</v>
      </c>
      <c r="AU19" s="23">
        <v>1722</v>
      </c>
      <c r="AV19" s="23">
        <v>904</v>
      </c>
      <c r="AW19" s="23">
        <v>291</v>
      </c>
      <c r="AX19" s="23">
        <v>527</v>
      </c>
    </row>
    <row r="20" spans="1:50" ht="12.75" customHeight="1">
      <c r="A20" s="58">
        <v>1973</v>
      </c>
      <c r="B20" s="23">
        <v>103365</v>
      </c>
      <c r="C20" s="23">
        <v>31716</v>
      </c>
      <c r="D20" s="23">
        <v>47918</v>
      </c>
      <c r="E20" s="23">
        <v>22884</v>
      </c>
      <c r="F20" s="23">
        <v>10730</v>
      </c>
      <c r="G20" s="23">
        <v>9423</v>
      </c>
      <c r="H20" s="23">
        <v>4933</v>
      </c>
      <c r="I20" s="23">
        <v>4490</v>
      </c>
      <c r="J20" s="23">
        <v>0</v>
      </c>
      <c r="K20" s="23">
        <v>0</v>
      </c>
      <c r="L20" s="23">
        <v>0</v>
      </c>
      <c r="M20" s="23">
        <v>2235</v>
      </c>
      <c r="N20" s="23">
        <v>2646</v>
      </c>
      <c r="O20" s="23">
        <v>11365</v>
      </c>
      <c r="P20" s="23">
        <v>285</v>
      </c>
      <c r="Q20" s="23">
        <v>2072</v>
      </c>
      <c r="R20" s="23">
        <v>0</v>
      </c>
      <c r="S20" s="23">
        <v>2051</v>
      </c>
      <c r="T20" s="23">
        <v>691</v>
      </c>
      <c r="U20" s="23">
        <v>467</v>
      </c>
      <c r="V20" s="23">
        <v>204</v>
      </c>
      <c r="W20" s="23">
        <v>264</v>
      </c>
      <c r="X20" s="23">
        <v>190</v>
      </c>
      <c r="Y20" s="23">
        <v>149</v>
      </c>
      <c r="Z20" s="23">
        <v>41</v>
      </c>
      <c r="AA20" s="23">
        <v>980</v>
      </c>
      <c r="AB20" s="23">
        <v>0</v>
      </c>
      <c r="AC20" s="23">
        <v>4282</v>
      </c>
      <c r="AD20" s="23">
        <v>346</v>
      </c>
      <c r="AE20" s="23">
        <v>2123</v>
      </c>
      <c r="AF20" s="23">
        <v>854</v>
      </c>
      <c r="AG20" s="23">
        <v>1269</v>
      </c>
      <c r="AH20" s="23">
        <v>10244</v>
      </c>
      <c r="AI20" s="23">
        <v>2502</v>
      </c>
      <c r="AJ20" s="23">
        <v>232</v>
      </c>
      <c r="AK20" s="23">
        <v>2022</v>
      </c>
      <c r="AL20" s="23">
        <v>248</v>
      </c>
      <c r="AM20" s="23">
        <v>7741</v>
      </c>
      <c r="AN20" s="23">
        <v>5817</v>
      </c>
      <c r="AO20" s="23">
        <v>521</v>
      </c>
      <c r="AP20" s="23">
        <v>1403</v>
      </c>
      <c r="AQ20" s="23">
        <v>5649</v>
      </c>
      <c r="AR20" s="23">
        <v>4716</v>
      </c>
      <c r="AS20" s="23">
        <v>97</v>
      </c>
      <c r="AT20" s="23">
        <v>836</v>
      </c>
      <c r="AU20" s="23">
        <v>2093</v>
      </c>
      <c r="AV20" s="23">
        <v>1102</v>
      </c>
      <c r="AW20" s="23">
        <v>424</v>
      </c>
      <c r="AX20" s="23">
        <v>567</v>
      </c>
    </row>
    <row r="21" spans="1:50" ht="12.75" customHeight="1">
      <c r="A21" s="58">
        <v>1974</v>
      </c>
      <c r="B21" s="23">
        <v>117157</v>
      </c>
      <c r="C21" s="23">
        <v>34467</v>
      </c>
      <c r="D21" s="23">
        <v>55848</v>
      </c>
      <c r="E21" s="23">
        <v>25972</v>
      </c>
      <c r="F21" s="23">
        <v>13428</v>
      </c>
      <c r="G21" s="23">
        <v>11073</v>
      </c>
      <c r="H21" s="23">
        <v>6277</v>
      </c>
      <c r="I21" s="23">
        <v>4797</v>
      </c>
      <c r="J21" s="23">
        <v>0</v>
      </c>
      <c r="K21" s="23">
        <v>0</v>
      </c>
      <c r="L21" s="23">
        <v>0</v>
      </c>
      <c r="M21" s="23">
        <v>2475</v>
      </c>
      <c r="N21" s="23">
        <v>2900</v>
      </c>
      <c r="O21" s="23">
        <v>13025</v>
      </c>
      <c r="P21" s="23">
        <v>331</v>
      </c>
      <c r="Q21" s="23">
        <v>2387</v>
      </c>
      <c r="R21" s="23">
        <v>0</v>
      </c>
      <c r="S21" s="23">
        <v>2382</v>
      </c>
      <c r="T21" s="23">
        <v>827</v>
      </c>
      <c r="U21" s="23">
        <v>525</v>
      </c>
      <c r="V21" s="23">
        <v>243</v>
      </c>
      <c r="W21" s="23">
        <v>282</v>
      </c>
      <c r="X21" s="23">
        <v>202</v>
      </c>
      <c r="Y21" s="23">
        <v>158</v>
      </c>
      <c r="Z21" s="23">
        <v>44</v>
      </c>
      <c r="AA21" s="23">
        <v>1086</v>
      </c>
      <c r="AB21" s="23">
        <v>0</v>
      </c>
      <c r="AC21" s="23">
        <v>4906</v>
      </c>
      <c r="AD21" s="23">
        <v>377</v>
      </c>
      <c r="AE21" s="23">
        <v>2584</v>
      </c>
      <c r="AF21" s="23">
        <v>969</v>
      </c>
      <c r="AG21" s="23">
        <v>1615</v>
      </c>
      <c r="AH21" s="23">
        <v>11233</v>
      </c>
      <c r="AI21" s="23">
        <v>2767</v>
      </c>
      <c r="AJ21" s="23">
        <v>252</v>
      </c>
      <c r="AK21" s="23">
        <v>2245</v>
      </c>
      <c r="AL21" s="23">
        <v>270</v>
      </c>
      <c r="AM21" s="23">
        <v>8466</v>
      </c>
      <c r="AN21" s="23">
        <v>6156</v>
      </c>
      <c r="AO21" s="23">
        <v>496</v>
      </c>
      <c r="AP21" s="23">
        <v>1814</v>
      </c>
      <c r="AQ21" s="23">
        <v>5977</v>
      </c>
      <c r="AR21" s="23">
        <v>4805</v>
      </c>
      <c r="AS21" s="23">
        <v>116</v>
      </c>
      <c r="AT21" s="23">
        <v>1057</v>
      </c>
      <c r="AU21" s="23">
        <v>2489</v>
      </c>
      <c r="AV21" s="23">
        <v>1351</v>
      </c>
      <c r="AW21" s="23">
        <v>380</v>
      </c>
      <c r="AX21" s="23">
        <v>757</v>
      </c>
    </row>
    <row r="22" spans="1:50" ht="12.75" customHeight="1">
      <c r="A22" s="58">
        <v>1975</v>
      </c>
      <c r="B22" s="23">
        <v>133585</v>
      </c>
      <c r="C22" s="23">
        <v>37372</v>
      </c>
      <c r="D22" s="23">
        <v>66213</v>
      </c>
      <c r="E22" s="23">
        <v>30461</v>
      </c>
      <c r="F22" s="23">
        <v>16336</v>
      </c>
      <c r="G22" s="23">
        <v>13446</v>
      </c>
      <c r="H22" s="23">
        <v>7409</v>
      </c>
      <c r="I22" s="23">
        <v>6037</v>
      </c>
      <c r="J22" s="23">
        <v>0</v>
      </c>
      <c r="K22" s="23">
        <v>0</v>
      </c>
      <c r="L22" s="23">
        <v>0</v>
      </c>
      <c r="M22" s="23">
        <v>2590</v>
      </c>
      <c r="N22" s="23">
        <v>3381</v>
      </c>
      <c r="O22" s="23">
        <v>14609</v>
      </c>
      <c r="P22" s="23">
        <v>377</v>
      </c>
      <c r="Q22" s="23">
        <v>2624</v>
      </c>
      <c r="R22" s="23">
        <v>197</v>
      </c>
      <c r="S22" s="23">
        <v>2669</v>
      </c>
      <c r="T22" s="23">
        <v>1000</v>
      </c>
      <c r="U22" s="23">
        <v>565</v>
      </c>
      <c r="V22" s="23">
        <v>276</v>
      </c>
      <c r="W22" s="23">
        <v>290</v>
      </c>
      <c r="X22" s="23">
        <v>210</v>
      </c>
      <c r="Y22" s="23">
        <v>164</v>
      </c>
      <c r="Z22" s="23">
        <v>46</v>
      </c>
      <c r="AA22" s="23">
        <v>695</v>
      </c>
      <c r="AB22" s="23">
        <v>569</v>
      </c>
      <c r="AC22" s="23">
        <v>5303</v>
      </c>
      <c r="AD22" s="23">
        <v>400</v>
      </c>
      <c r="AE22" s="23">
        <v>2967</v>
      </c>
      <c r="AF22" s="23">
        <v>1043</v>
      </c>
      <c r="AG22" s="23">
        <v>1924</v>
      </c>
      <c r="AH22" s="23">
        <v>12425</v>
      </c>
      <c r="AI22" s="23">
        <v>3372</v>
      </c>
      <c r="AJ22" s="23">
        <v>264</v>
      </c>
      <c r="AK22" s="23">
        <v>2809</v>
      </c>
      <c r="AL22" s="23">
        <v>298</v>
      </c>
      <c r="AM22" s="23">
        <v>9053</v>
      </c>
      <c r="AN22" s="23">
        <v>6463</v>
      </c>
      <c r="AO22" s="23">
        <v>653</v>
      </c>
      <c r="AP22" s="23">
        <v>1937</v>
      </c>
      <c r="AQ22" s="23">
        <v>6515</v>
      </c>
      <c r="AR22" s="23">
        <v>4831</v>
      </c>
      <c r="AS22" s="23">
        <v>218</v>
      </c>
      <c r="AT22" s="23">
        <v>1466</v>
      </c>
      <c r="AU22" s="23">
        <v>2538</v>
      </c>
      <c r="AV22" s="23">
        <v>1632</v>
      </c>
      <c r="AW22" s="23">
        <v>435</v>
      </c>
      <c r="AX22" s="23">
        <v>471</v>
      </c>
    </row>
    <row r="23" spans="1:50" ht="12.75" customHeight="1">
      <c r="A23" s="58">
        <v>1976</v>
      </c>
      <c r="B23" s="23">
        <v>153011</v>
      </c>
      <c r="C23" s="23">
        <v>40767</v>
      </c>
      <c r="D23" s="23">
        <v>78938</v>
      </c>
      <c r="E23" s="23">
        <v>37295</v>
      </c>
      <c r="F23" s="23">
        <v>19694</v>
      </c>
      <c r="G23" s="23">
        <v>15188</v>
      </c>
      <c r="H23" s="23">
        <v>9153</v>
      </c>
      <c r="I23" s="23">
        <v>6036</v>
      </c>
      <c r="J23" s="23">
        <v>0</v>
      </c>
      <c r="K23" s="23">
        <v>0</v>
      </c>
      <c r="L23" s="23">
        <v>0</v>
      </c>
      <c r="M23" s="23">
        <v>2695</v>
      </c>
      <c r="N23" s="23">
        <v>4066</v>
      </c>
      <c r="O23" s="23">
        <v>16440</v>
      </c>
      <c r="P23" s="23">
        <v>452</v>
      </c>
      <c r="Q23" s="23">
        <v>3742</v>
      </c>
      <c r="R23" s="23">
        <v>255</v>
      </c>
      <c r="S23" s="23">
        <v>3031</v>
      </c>
      <c r="T23" s="23">
        <v>1131</v>
      </c>
      <c r="U23" s="23">
        <v>619</v>
      </c>
      <c r="V23" s="23">
        <v>297</v>
      </c>
      <c r="W23" s="23">
        <v>322</v>
      </c>
      <c r="X23" s="23">
        <v>210</v>
      </c>
      <c r="Y23" s="23">
        <v>163</v>
      </c>
      <c r="Z23" s="23">
        <v>48</v>
      </c>
      <c r="AA23" s="23">
        <v>823</v>
      </c>
      <c r="AB23" s="23">
        <v>537</v>
      </c>
      <c r="AC23" s="23">
        <v>5205</v>
      </c>
      <c r="AD23" s="23">
        <v>433</v>
      </c>
      <c r="AE23" s="23">
        <v>3213</v>
      </c>
      <c r="AF23" s="23">
        <v>1110</v>
      </c>
      <c r="AG23" s="23">
        <v>2104</v>
      </c>
      <c r="AH23" s="23">
        <v>13653</v>
      </c>
      <c r="AI23" s="23">
        <v>3707</v>
      </c>
      <c r="AJ23" s="23">
        <v>267</v>
      </c>
      <c r="AK23" s="23">
        <v>3119</v>
      </c>
      <c r="AL23" s="23">
        <v>321</v>
      </c>
      <c r="AM23" s="23">
        <v>9945</v>
      </c>
      <c r="AN23" s="23">
        <v>7098</v>
      </c>
      <c r="AO23" s="23">
        <v>643</v>
      </c>
      <c r="AP23" s="23">
        <v>2204</v>
      </c>
      <c r="AQ23" s="23">
        <v>7071</v>
      </c>
      <c r="AR23" s="23">
        <v>5126</v>
      </c>
      <c r="AS23" s="23">
        <v>266</v>
      </c>
      <c r="AT23" s="23">
        <v>1679</v>
      </c>
      <c r="AU23" s="23">
        <v>2874</v>
      </c>
      <c r="AV23" s="23">
        <v>1972</v>
      </c>
      <c r="AW23" s="23">
        <v>377</v>
      </c>
      <c r="AX23" s="23">
        <v>525</v>
      </c>
    </row>
    <row r="24" spans="1:50" ht="12.75" customHeight="1">
      <c r="A24" s="58">
        <v>1977</v>
      </c>
      <c r="B24" s="23">
        <v>173979</v>
      </c>
      <c r="C24" s="23">
        <v>44996</v>
      </c>
      <c r="D24" s="23">
        <v>92960</v>
      </c>
      <c r="E24" s="23">
        <v>45538</v>
      </c>
      <c r="F24" s="23">
        <v>22891</v>
      </c>
      <c r="G24" s="23">
        <v>17464</v>
      </c>
      <c r="H24" s="23">
        <v>9896</v>
      </c>
      <c r="I24" s="23">
        <v>7568</v>
      </c>
      <c r="J24" s="23">
        <v>0</v>
      </c>
      <c r="K24" s="23">
        <v>0</v>
      </c>
      <c r="L24" s="23">
        <v>0</v>
      </c>
      <c r="M24" s="23">
        <v>2922</v>
      </c>
      <c r="N24" s="23">
        <v>4146</v>
      </c>
      <c r="O24" s="23">
        <v>18238</v>
      </c>
      <c r="P24" s="23">
        <v>534</v>
      </c>
      <c r="Q24" s="23">
        <v>4146</v>
      </c>
      <c r="R24" s="23">
        <v>307</v>
      </c>
      <c r="S24" s="23">
        <v>3506</v>
      </c>
      <c r="T24" s="23">
        <v>1281</v>
      </c>
      <c r="U24" s="23">
        <v>665</v>
      </c>
      <c r="V24" s="23">
        <v>311</v>
      </c>
      <c r="W24" s="23">
        <v>354</v>
      </c>
      <c r="X24" s="23">
        <v>219</v>
      </c>
      <c r="Y24" s="23">
        <v>170</v>
      </c>
      <c r="Z24" s="23">
        <v>49</v>
      </c>
      <c r="AA24" s="23">
        <v>854</v>
      </c>
      <c r="AB24" s="23">
        <v>581</v>
      </c>
      <c r="AC24" s="23">
        <v>5636</v>
      </c>
      <c r="AD24" s="23">
        <v>509</v>
      </c>
      <c r="AE24" s="23">
        <v>3815</v>
      </c>
      <c r="AF24" s="23">
        <v>1152</v>
      </c>
      <c r="AG24" s="23">
        <v>2663</v>
      </c>
      <c r="AH24" s="23">
        <v>13970</v>
      </c>
      <c r="AI24" s="23">
        <v>3864</v>
      </c>
      <c r="AJ24" s="23">
        <v>220</v>
      </c>
      <c r="AK24" s="23">
        <v>3267</v>
      </c>
      <c r="AL24" s="23">
        <v>377</v>
      </c>
      <c r="AM24" s="23">
        <v>10105</v>
      </c>
      <c r="AN24" s="23">
        <v>7424</v>
      </c>
      <c r="AO24" s="23">
        <v>558</v>
      </c>
      <c r="AP24" s="23">
        <v>2123</v>
      </c>
      <c r="AQ24" s="23">
        <v>6867</v>
      </c>
      <c r="AR24" s="23">
        <v>4995</v>
      </c>
      <c r="AS24" s="23">
        <v>334</v>
      </c>
      <c r="AT24" s="23">
        <v>1538</v>
      </c>
      <c r="AU24" s="23">
        <v>3238</v>
      </c>
      <c r="AV24" s="23">
        <v>2429</v>
      </c>
      <c r="AW24" s="23">
        <v>224</v>
      </c>
      <c r="AX24" s="23">
        <v>585</v>
      </c>
    </row>
    <row r="25" spans="1:50" ht="12.75" customHeight="1">
      <c r="A25" s="58">
        <v>1978</v>
      </c>
      <c r="B25" s="23">
        <v>195528</v>
      </c>
      <c r="C25" s="23">
        <v>48169</v>
      </c>
      <c r="D25" s="23">
        <v>106407</v>
      </c>
      <c r="E25" s="23">
        <v>52347</v>
      </c>
      <c r="F25" s="23">
        <v>26668</v>
      </c>
      <c r="G25" s="23">
        <v>19465</v>
      </c>
      <c r="H25" s="23">
        <v>10919</v>
      </c>
      <c r="I25" s="23">
        <v>8547</v>
      </c>
      <c r="J25" s="23">
        <v>0</v>
      </c>
      <c r="K25" s="23">
        <v>0</v>
      </c>
      <c r="L25" s="23">
        <v>0</v>
      </c>
      <c r="M25" s="23">
        <v>3067</v>
      </c>
      <c r="N25" s="23">
        <v>4859</v>
      </c>
      <c r="O25" s="23">
        <v>20952</v>
      </c>
      <c r="P25" s="23">
        <v>621</v>
      </c>
      <c r="Q25" s="23">
        <v>5161</v>
      </c>
      <c r="R25" s="23">
        <v>375</v>
      </c>
      <c r="S25" s="23">
        <v>4026</v>
      </c>
      <c r="T25" s="23">
        <v>1358</v>
      </c>
      <c r="U25" s="23">
        <v>701</v>
      </c>
      <c r="V25" s="23">
        <v>330</v>
      </c>
      <c r="W25" s="23">
        <v>371</v>
      </c>
      <c r="X25" s="23">
        <v>220</v>
      </c>
      <c r="Y25" s="23">
        <v>168</v>
      </c>
      <c r="Z25" s="23">
        <v>52</v>
      </c>
      <c r="AA25" s="23">
        <v>948</v>
      </c>
      <c r="AB25" s="23">
        <v>689</v>
      </c>
      <c r="AC25" s="23">
        <v>6293</v>
      </c>
      <c r="AD25" s="23">
        <v>559</v>
      </c>
      <c r="AE25" s="23">
        <v>4588</v>
      </c>
      <c r="AF25" s="23">
        <v>1154</v>
      </c>
      <c r="AG25" s="23">
        <v>3434</v>
      </c>
      <c r="AH25" s="23">
        <v>15411</v>
      </c>
      <c r="AI25" s="23">
        <v>4438</v>
      </c>
      <c r="AJ25" s="23">
        <v>236</v>
      </c>
      <c r="AK25" s="23">
        <v>3760</v>
      </c>
      <c r="AL25" s="23">
        <v>442</v>
      </c>
      <c r="AM25" s="23">
        <v>10974</v>
      </c>
      <c r="AN25" s="23">
        <v>8041</v>
      </c>
      <c r="AO25" s="23">
        <v>745</v>
      </c>
      <c r="AP25" s="23">
        <v>2188</v>
      </c>
      <c r="AQ25" s="23">
        <v>6970</v>
      </c>
      <c r="AR25" s="23">
        <v>5092</v>
      </c>
      <c r="AS25" s="23">
        <v>382</v>
      </c>
      <c r="AT25" s="23">
        <v>1496</v>
      </c>
      <c r="AU25" s="23">
        <v>4004</v>
      </c>
      <c r="AV25" s="23">
        <v>2949</v>
      </c>
      <c r="AW25" s="23">
        <v>363</v>
      </c>
      <c r="AX25" s="23">
        <v>692</v>
      </c>
    </row>
    <row r="26" spans="1:50" ht="12.75" customHeight="1">
      <c r="A26" s="58">
        <v>1979</v>
      </c>
      <c r="B26" s="23">
        <v>221658</v>
      </c>
      <c r="C26" s="23">
        <v>52473</v>
      </c>
      <c r="D26" s="23">
        <v>122553</v>
      </c>
      <c r="E26" s="23">
        <v>60768</v>
      </c>
      <c r="F26" s="23">
        <v>30922</v>
      </c>
      <c r="G26" s="23">
        <v>22332</v>
      </c>
      <c r="H26" s="23">
        <v>12705</v>
      </c>
      <c r="I26" s="23">
        <v>9627</v>
      </c>
      <c r="J26" s="23">
        <v>0</v>
      </c>
      <c r="K26" s="23">
        <v>0</v>
      </c>
      <c r="L26" s="23">
        <v>0</v>
      </c>
      <c r="M26" s="23">
        <v>3457</v>
      </c>
      <c r="N26" s="23">
        <v>5073</v>
      </c>
      <c r="O26" s="23">
        <v>24247</v>
      </c>
      <c r="P26" s="23">
        <v>723</v>
      </c>
      <c r="Q26" s="23">
        <v>6189</v>
      </c>
      <c r="R26" s="23">
        <v>412</v>
      </c>
      <c r="S26" s="23">
        <v>4945</v>
      </c>
      <c r="T26" s="23">
        <v>1548</v>
      </c>
      <c r="U26" s="23">
        <v>775</v>
      </c>
      <c r="V26" s="23">
        <v>339</v>
      </c>
      <c r="W26" s="23">
        <v>436</v>
      </c>
      <c r="X26" s="23">
        <v>224</v>
      </c>
      <c r="Y26" s="23">
        <v>171</v>
      </c>
      <c r="Z26" s="23">
        <v>53</v>
      </c>
      <c r="AA26" s="23">
        <v>1116</v>
      </c>
      <c r="AB26" s="23">
        <v>663</v>
      </c>
      <c r="AC26" s="23">
        <v>7052</v>
      </c>
      <c r="AD26" s="23">
        <v>600</v>
      </c>
      <c r="AE26" s="23">
        <v>5375</v>
      </c>
      <c r="AF26" s="23">
        <v>1108</v>
      </c>
      <c r="AG26" s="23">
        <v>4267</v>
      </c>
      <c r="AH26" s="23">
        <v>17009</v>
      </c>
      <c r="AI26" s="23">
        <v>4805</v>
      </c>
      <c r="AJ26" s="23">
        <v>254</v>
      </c>
      <c r="AK26" s="23">
        <v>4082</v>
      </c>
      <c r="AL26" s="23">
        <v>469</v>
      </c>
      <c r="AM26" s="23">
        <v>12204</v>
      </c>
      <c r="AN26" s="23">
        <v>9024</v>
      </c>
      <c r="AO26" s="23">
        <v>655</v>
      </c>
      <c r="AP26" s="23">
        <v>2525</v>
      </c>
      <c r="AQ26" s="23">
        <v>7432</v>
      </c>
      <c r="AR26" s="23">
        <v>5386</v>
      </c>
      <c r="AS26" s="23">
        <v>370</v>
      </c>
      <c r="AT26" s="23">
        <v>1675</v>
      </c>
      <c r="AU26" s="23">
        <v>4772</v>
      </c>
      <c r="AV26" s="23">
        <v>3638</v>
      </c>
      <c r="AW26" s="23">
        <v>285</v>
      </c>
      <c r="AX26" s="23">
        <v>850</v>
      </c>
    </row>
    <row r="27" spans="1:50" ht="18" customHeight="1">
      <c r="A27" s="58">
        <v>1980</v>
      </c>
      <c r="B27" s="23">
        <v>255784</v>
      </c>
      <c r="C27" s="23">
        <v>58396</v>
      </c>
      <c r="D27" s="23">
        <v>142155</v>
      </c>
      <c r="E27" s="23">
        <v>69047</v>
      </c>
      <c r="F27" s="23">
        <v>37387</v>
      </c>
      <c r="G27" s="23">
        <v>26032</v>
      </c>
      <c r="H27" s="23">
        <v>14521</v>
      </c>
      <c r="I27" s="23">
        <v>11511</v>
      </c>
      <c r="J27" s="23">
        <v>0</v>
      </c>
      <c r="K27" s="23">
        <v>0</v>
      </c>
      <c r="L27" s="23">
        <v>0</v>
      </c>
      <c r="M27" s="23">
        <v>3949</v>
      </c>
      <c r="N27" s="23">
        <v>5740</v>
      </c>
      <c r="O27" s="23">
        <v>28685</v>
      </c>
      <c r="P27" s="23">
        <v>829</v>
      </c>
      <c r="Q27" s="23">
        <v>8614</v>
      </c>
      <c r="R27" s="23">
        <v>448</v>
      </c>
      <c r="S27" s="23">
        <v>5606</v>
      </c>
      <c r="T27" s="23">
        <v>1899</v>
      </c>
      <c r="U27" s="23">
        <v>864</v>
      </c>
      <c r="V27" s="23">
        <v>344</v>
      </c>
      <c r="W27" s="23">
        <v>520</v>
      </c>
      <c r="X27" s="23">
        <v>223</v>
      </c>
      <c r="Y27" s="23">
        <v>170</v>
      </c>
      <c r="Z27" s="23">
        <v>53</v>
      </c>
      <c r="AA27" s="23">
        <v>1343</v>
      </c>
      <c r="AB27" s="23">
        <v>825</v>
      </c>
      <c r="AC27" s="23">
        <v>7369</v>
      </c>
      <c r="AD27" s="23">
        <v>663</v>
      </c>
      <c r="AE27" s="23">
        <v>6445</v>
      </c>
      <c r="AF27" s="23">
        <v>1235</v>
      </c>
      <c r="AG27" s="23">
        <v>5210</v>
      </c>
      <c r="AH27" s="23">
        <v>20103</v>
      </c>
      <c r="AI27" s="23">
        <v>5429</v>
      </c>
      <c r="AJ27" s="23">
        <v>292</v>
      </c>
      <c r="AK27" s="23">
        <v>4616</v>
      </c>
      <c r="AL27" s="23">
        <v>520</v>
      </c>
      <c r="AM27" s="23">
        <v>14674</v>
      </c>
      <c r="AN27" s="23">
        <v>10719</v>
      </c>
      <c r="AO27" s="23">
        <v>1023</v>
      </c>
      <c r="AP27" s="23">
        <v>2932</v>
      </c>
      <c r="AQ27" s="23">
        <v>8585</v>
      </c>
      <c r="AR27" s="23">
        <v>6213</v>
      </c>
      <c r="AS27" s="23">
        <v>439</v>
      </c>
      <c r="AT27" s="23">
        <v>1933</v>
      </c>
      <c r="AU27" s="23">
        <v>6089</v>
      </c>
      <c r="AV27" s="23">
        <v>4506</v>
      </c>
      <c r="AW27" s="23">
        <v>584</v>
      </c>
      <c r="AX27" s="23">
        <v>999</v>
      </c>
    </row>
    <row r="28" spans="1:50" ht="12.75" customHeight="1">
      <c r="A28" s="58">
        <v>1981</v>
      </c>
      <c r="B28" s="23">
        <v>296739</v>
      </c>
      <c r="C28" s="23">
        <v>65629</v>
      </c>
      <c r="D28" s="23">
        <v>167534</v>
      </c>
      <c r="E28" s="23">
        <v>81608</v>
      </c>
      <c r="F28" s="23">
        <v>44769</v>
      </c>
      <c r="G28" s="23">
        <v>30307</v>
      </c>
      <c r="H28" s="23">
        <v>16902</v>
      </c>
      <c r="I28" s="23">
        <v>13405</v>
      </c>
      <c r="J28" s="23">
        <v>0</v>
      </c>
      <c r="K28" s="23">
        <v>0</v>
      </c>
      <c r="L28" s="23">
        <v>0</v>
      </c>
      <c r="M28" s="23">
        <v>4588</v>
      </c>
      <c r="N28" s="23">
        <v>6261</v>
      </c>
      <c r="O28" s="23">
        <v>32958</v>
      </c>
      <c r="P28" s="23">
        <v>954</v>
      </c>
      <c r="Q28" s="23">
        <v>10685</v>
      </c>
      <c r="R28" s="23">
        <v>509</v>
      </c>
      <c r="S28" s="23">
        <v>6189</v>
      </c>
      <c r="T28" s="23">
        <v>2226</v>
      </c>
      <c r="U28" s="23">
        <v>879</v>
      </c>
      <c r="V28" s="23">
        <v>339</v>
      </c>
      <c r="W28" s="23">
        <v>540</v>
      </c>
      <c r="X28" s="23">
        <v>229</v>
      </c>
      <c r="Y28" s="23">
        <v>172</v>
      </c>
      <c r="Z28" s="23">
        <v>57</v>
      </c>
      <c r="AA28" s="23">
        <v>1334</v>
      </c>
      <c r="AB28" s="23">
        <v>799</v>
      </c>
      <c r="AC28" s="23">
        <v>8446</v>
      </c>
      <c r="AD28" s="23">
        <v>708</v>
      </c>
      <c r="AE28" s="23">
        <v>7531</v>
      </c>
      <c r="AF28" s="23">
        <v>1216</v>
      </c>
      <c r="AG28" s="23">
        <v>6316</v>
      </c>
      <c r="AH28" s="23">
        <v>23087</v>
      </c>
      <c r="AI28" s="23">
        <v>5705</v>
      </c>
      <c r="AJ28" s="23">
        <v>312</v>
      </c>
      <c r="AK28" s="23">
        <v>4790</v>
      </c>
      <c r="AL28" s="23">
        <v>602</v>
      </c>
      <c r="AM28" s="23">
        <v>17383</v>
      </c>
      <c r="AN28" s="23">
        <v>13073</v>
      </c>
      <c r="AO28" s="23">
        <v>1315</v>
      </c>
      <c r="AP28" s="23">
        <v>2995</v>
      </c>
      <c r="AQ28" s="23">
        <v>9996</v>
      </c>
      <c r="AR28" s="23">
        <v>7580</v>
      </c>
      <c r="AS28" s="23">
        <v>570</v>
      </c>
      <c r="AT28" s="23">
        <v>1845</v>
      </c>
      <c r="AU28" s="23">
        <v>7387</v>
      </c>
      <c r="AV28" s="23">
        <v>5492</v>
      </c>
      <c r="AW28" s="23">
        <v>745</v>
      </c>
      <c r="AX28" s="23">
        <v>1150</v>
      </c>
    </row>
    <row r="29" spans="1:50" ht="12.75" customHeight="1">
      <c r="A29" s="58">
        <v>1982</v>
      </c>
      <c r="B29" s="23">
        <v>334699</v>
      </c>
      <c r="C29" s="23">
        <v>72739</v>
      </c>
      <c r="D29" s="23">
        <v>190437</v>
      </c>
      <c r="E29" s="23">
        <v>94012</v>
      </c>
      <c r="F29" s="23">
        <v>52351</v>
      </c>
      <c r="G29" s="23">
        <v>32011</v>
      </c>
      <c r="H29" s="23">
        <v>17843</v>
      </c>
      <c r="I29" s="23">
        <v>14168</v>
      </c>
      <c r="J29" s="23">
        <v>0</v>
      </c>
      <c r="K29" s="23">
        <v>0</v>
      </c>
      <c r="L29" s="23">
        <v>0</v>
      </c>
      <c r="M29" s="23">
        <v>5158</v>
      </c>
      <c r="N29" s="23">
        <v>6905</v>
      </c>
      <c r="O29" s="23">
        <v>36494</v>
      </c>
      <c r="P29" s="23">
        <v>1043</v>
      </c>
      <c r="Q29" s="23">
        <v>12696</v>
      </c>
      <c r="R29" s="23">
        <v>506</v>
      </c>
      <c r="S29" s="23">
        <v>6929</v>
      </c>
      <c r="T29" s="23">
        <v>2437</v>
      </c>
      <c r="U29" s="23">
        <v>935</v>
      </c>
      <c r="V29" s="23">
        <v>343</v>
      </c>
      <c r="W29" s="23">
        <v>593</v>
      </c>
      <c r="X29" s="23">
        <v>233</v>
      </c>
      <c r="Y29" s="23">
        <v>172</v>
      </c>
      <c r="Z29" s="23">
        <v>61</v>
      </c>
      <c r="AA29" s="23">
        <v>1184</v>
      </c>
      <c r="AB29" s="23">
        <v>636</v>
      </c>
      <c r="AC29" s="23">
        <v>9141</v>
      </c>
      <c r="AD29" s="23">
        <v>753</v>
      </c>
      <c r="AE29" s="23">
        <v>8621</v>
      </c>
      <c r="AF29" s="23">
        <v>1141</v>
      </c>
      <c r="AG29" s="23">
        <v>7480</v>
      </c>
      <c r="AH29" s="23">
        <v>26409</v>
      </c>
      <c r="AI29" s="23">
        <v>6025</v>
      </c>
      <c r="AJ29" s="23">
        <v>390</v>
      </c>
      <c r="AK29" s="23">
        <v>4955</v>
      </c>
      <c r="AL29" s="23">
        <v>680</v>
      </c>
      <c r="AM29" s="23">
        <v>20384</v>
      </c>
      <c r="AN29" s="23">
        <v>15905</v>
      </c>
      <c r="AO29" s="23">
        <v>1227</v>
      </c>
      <c r="AP29" s="23">
        <v>3252</v>
      </c>
      <c r="AQ29" s="23">
        <v>11567</v>
      </c>
      <c r="AR29" s="23">
        <v>9147</v>
      </c>
      <c r="AS29" s="23">
        <v>528</v>
      </c>
      <c r="AT29" s="23">
        <v>1892</v>
      </c>
      <c r="AU29" s="23">
        <v>8817</v>
      </c>
      <c r="AV29" s="23">
        <v>6758</v>
      </c>
      <c r="AW29" s="23">
        <v>699</v>
      </c>
      <c r="AX29" s="23">
        <v>1360</v>
      </c>
    </row>
    <row r="30" spans="1:50" ht="12.75" customHeight="1">
      <c r="A30" s="58">
        <v>1983</v>
      </c>
      <c r="B30" s="23">
        <v>368987</v>
      </c>
      <c r="C30" s="23">
        <v>78924</v>
      </c>
      <c r="D30" s="23">
        <v>212507</v>
      </c>
      <c r="E30" s="23">
        <v>104894</v>
      </c>
      <c r="F30" s="23">
        <v>59559</v>
      </c>
      <c r="G30" s="23">
        <v>35266</v>
      </c>
      <c r="H30" s="23">
        <v>19587</v>
      </c>
      <c r="I30" s="23">
        <v>15679</v>
      </c>
      <c r="J30" s="23">
        <v>0</v>
      </c>
      <c r="K30" s="23">
        <v>0</v>
      </c>
      <c r="L30" s="23">
        <v>0</v>
      </c>
      <c r="M30" s="23">
        <v>5393</v>
      </c>
      <c r="N30" s="23">
        <v>7396</v>
      </c>
      <c r="O30" s="23">
        <v>39043</v>
      </c>
      <c r="P30" s="23">
        <v>1157</v>
      </c>
      <c r="Q30" s="23">
        <v>14081</v>
      </c>
      <c r="R30" s="23">
        <v>559</v>
      </c>
      <c r="S30" s="23">
        <v>7285</v>
      </c>
      <c r="T30" s="23">
        <v>2649</v>
      </c>
      <c r="U30" s="23">
        <v>1081</v>
      </c>
      <c r="V30" s="23">
        <v>398</v>
      </c>
      <c r="W30" s="23">
        <v>683</v>
      </c>
      <c r="X30" s="23">
        <v>246</v>
      </c>
      <c r="Y30" s="23">
        <v>183</v>
      </c>
      <c r="Z30" s="23">
        <v>62</v>
      </c>
      <c r="AA30" s="23">
        <v>1044</v>
      </c>
      <c r="AB30" s="23">
        <v>599</v>
      </c>
      <c r="AC30" s="23">
        <v>9547</v>
      </c>
      <c r="AD30" s="23">
        <v>795</v>
      </c>
      <c r="AE30" s="23">
        <v>9251</v>
      </c>
      <c r="AF30" s="23">
        <v>1232</v>
      </c>
      <c r="AG30" s="23">
        <v>8019</v>
      </c>
      <c r="AH30" s="23">
        <v>29261</v>
      </c>
      <c r="AI30" s="23">
        <v>6543</v>
      </c>
      <c r="AJ30" s="23">
        <v>456</v>
      </c>
      <c r="AK30" s="23">
        <v>5331</v>
      </c>
      <c r="AL30" s="23">
        <v>756</v>
      </c>
      <c r="AM30" s="23">
        <v>22718</v>
      </c>
      <c r="AN30" s="23">
        <v>17547</v>
      </c>
      <c r="AO30" s="23">
        <v>1926</v>
      </c>
      <c r="AP30" s="23">
        <v>3245</v>
      </c>
      <c r="AQ30" s="23">
        <v>12483</v>
      </c>
      <c r="AR30" s="23">
        <v>10271</v>
      </c>
      <c r="AS30" s="23">
        <v>505</v>
      </c>
      <c r="AT30" s="23">
        <v>1708</v>
      </c>
      <c r="AU30" s="23">
        <v>10235</v>
      </c>
      <c r="AV30" s="23">
        <v>7276</v>
      </c>
      <c r="AW30" s="23">
        <v>1421</v>
      </c>
      <c r="AX30" s="23">
        <v>1537</v>
      </c>
    </row>
    <row r="31" spans="1:50" ht="12.75" customHeight="1">
      <c r="A31" s="58">
        <v>1984</v>
      </c>
      <c r="B31" s="23">
        <v>406512</v>
      </c>
      <c r="C31" s="23">
        <v>86824</v>
      </c>
      <c r="D31" s="23">
        <v>237236</v>
      </c>
      <c r="E31" s="23">
        <v>118884</v>
      </c>
      <c r="F31" s="23">
        <v>66207</v>
      </c>
      <c r="G31" s="23">
        <v>38233</v>
      </c>
      <c r="H31" s="23">
        <v>21096</v>
      </c>
      <c r="I31" s="23">
        <v>17137</v>
      </c>
      <c r="J31" s="23">
        <v>0</v>
      </c>
      <c r="K31" s="23">
        <v>0</v>
      </c>
      <c r="L31" s="23">
        <v>0</v>
      </c>
      <c r="M31" s="23">
        <v>5842</v>
      </c>
      <c r="N31" s="23">
        <v>8070</v>
      </c>
      <c r="O31" s="23">
        <v>41614</v>
      </c>
      <c r="P31" s="23">
        <v>1306</v>
      </c>
      <c r="Q31" s="23">
        <v>15613</v>
      </c>
      <c r="R31" s="23">
        <v>645</v>
      </c>
      <c r="S31" s="23">
        <v>7661</v>
      </c>
      <c r="T31" s="23">
        <v>2875</v>
      </c>
      <c r="U31" s="23">
        <v>1111</v>
      </c>
      <c r="V31" s="23">
        <v>348</v>
      </c>
      <c r="W31" s="23">
        <v>763</v>
      </c>
      <c r="X31" s="23">
        <v>257</v>
      </c>
      <c r="Y31" s="23">
        <v>195</v>
      </c>
      <c r="Z31" s="23">
        <v>62</v>
      </c>
      <c r="AA31" s="23">
        <v>1065</v>
      </c>
      <c r="AB31" s="23">
        <v>607</v>
      </c>
      <c r="AC31" s="23">
        <v>9628</v>
      </c>
      <c r="AD31" s="23">
        <v>847</v>
      </c>
      <c r="AE31" s="23">
        <v>9842</v>
      </c>
      <c r="AF31" s="23">
        <v>1298</v>
      </c>
      <c r="AG31" s="23">
        <v>8544</v>
      </c>
      <c r="AH31" s="23">
        <v>30996</v>
      </c>
      <c r="AI31" s="23">
        <v>7608</v>
      </c>
      <c r="AJ31" s="23">
        <v>507</v>
      </c>
      <c r="AK31" s="23">
        <v>6269</v>
      </c>
      <c r="AL31" s="23">
        <v>832</v>
      </c>
      <c r="AM31" s="23">
        <v>23389</v>
      </c>
      <c r="AN31" s="23">
        <v>17516</v>
      </c>
      <c r="AO31" s="23">
        <v>2391</v>
      </c>
      <c r="AP31" s="23">
        <v>3482</v>
      </c>
      <c r="AQ31" s="23">
        <v>12199</v>
      </c>
      <c r="AR31" s="23">
        <v>9914</v>
      </c>
      <c r="AS31" s="23">
        <v>595</v>
      </c>
      <c r="AT31" s="23">
        <v>1690</v>
      </c>
      <c r="AU31" s="23">
        <v>11189</v>
      </c>
      <c r="AV31" s="23">
        <v>7601</v>
      </c>
      <c r="AW31" s="23">
        <v>1796</v>
      </c>
      <c r="AX31" s="23">
        <v>1792</v>
      </c>
    </row>
    <row r="32" spans="1:50" ht="12.75" customHeight="1">
      <c r="A32" s="58">
        <v>1985</v>
      </c>
      <c r="B32" s="23">
        <v>444608</v>
      </c>
      <c r="C32" s="23">
        <v>95977</v>
      </c>
      <c r="D32" s="23">
        <v>259152</v>
      </c>
      <c r="E32" s="23">
        <v>131191</v>
      </c>
      <c r="F32" s="23">
        <v>71829</v>
      </c>
      <c r="G32" s="23">
        <v>40937</v>
      </c>
      <c r="H32" s="23">
        <v>22594</v>
      </c>
      <c r="I32" s="23">
        <v>18343</v>
      </c>
      <c r="J32" s="23">
        <v>0</v>
      </c>
      <c r="K32" s="23">
        <v>0</v>
      </c>
      <c r="L32" s="23">
        <v>0</v>
      </c>
      <c r="M32" s="23">
        <v>6864</v>
      </c>
      <c r="N32" s="23">
        <v>8332</v>
      </c>
      <c r="O32" s="23">
        <v>47025</v>
      </c>
      <c r="P32" s="23">
        <v>1392</v>
      </c>
      <c r="Q32" s="23">
        <v>18498</v>
      </c>
      <c r="R32" s="23">
        <v>721</v>
      </c>
      <c r="S32" s="23">
        <v>8937</v>
      </c>
      <c r="T32" s="23">
        <v>3189</v>
      </c>
      <c r="U32" s="23">
        <v>1290</v>
      </c>
      <c r="V32" s="23">
        <v>407</v>
      </c>
      <c r="W32" s="23">
        <v>883</v>
      </c>
      <c r="X32" s="23">
        <v>262</v>
      </c>
      <c r="Y32" s="23">
        <v>200</v>
      </c>
      <c r="Z32" s="23">
        <v>62</v>
      </c>
      <c r="AA32" s="23">
        <v>1108</v>
      </c>
      <c r="AB32" s="23">
        <v>515</v>
      </c>
      <c r="AC32" s="23">
        <v>10193</v>
      </c>
      <c r="AD32" s="23">
        <v>919</v>
      </c>
      <c r="AE32" s="23">
        <v>11212</v>
      </c>
      <c r="AF32" s="23">
        <v>1326</v>
      </c>
      <c r="AG32" s="23">
        <v>9886</v>
      </c>
      <c r="AH32" s="23">
        <v>31241</v>
      </c>
      <c r="AI32" s="23">
        <v>8320</v>
      </c>
      <c r="AJ32" s="23">
        <v>539</v>
      </c>
      <c r="AK32" s="23">
        <v>6830</v>
      </c>
      <c r="AL32" s="23">
        <v>951</v>
      </c>
      <c r="AM32" s="23">
        <v>22921</v>
      </c>
      <c r="AN32" s="23">
        <v>16576</v>
      </c>
      <c r="AO32" s="23">
        <v>2562</v>
      </c>
      <c r="AP32" s="23">
        <v>3783</v>
      </c>
      <c r="AQ32" s="23">
        <v>11225</v>
      </c>
      <c r="AR32" s="23">
        <v>8849</v>
      </c>
      <c r="AS32" s="23">
        <v>640</v>
      </c>
      <c r="AT32" s="23">
        <v>1737</v>
      </c>
      <c r="AU32" s="23">
        <v>11696</v>
      </c>
      <c r="AV32" s="23">
        <v>7727</v>
      </c>
      <c r="AW32" s="23">
        <v>1922</v>
      </c>
      <c r="AX32" s="23">
        <v>2046</v>
      </c>
    </row>
    <row r="33" spans="1:50" ht="12.75" customHeight="1">
      <c r="A33" s="58">
        <v>1986</v>
      </c>
      <c r="B33" s="23">
        <v>476892</v>
      </c>
      <c r="C33" s="23">
        <v>104035</v>
      </c>
      <c r="D33" s="23">
        <v>274648</v>
      </c>
      <c r="E33" s="23">
        <v>136026</v>
      </c>
      <c r="F33" s="23">
        <v>76829</v>
      </c>
      <c r="G33" s="23">
        <v>45383</v>
      </c>
      <c r="H33" s="23">
        <v>25187</v>
      </c>
      <c r="I33" s="23">
        <v>20196</v>
      </c>
      <c r="J33" s="23">
        <v>0</v>
      </c>
      <c r="K33" s="23">
        <v>0</v>
      </c>
      <c r="L33" s="23">
        <v>0</v>
      </c>
      <c r="M33" s="23">
        <v>7634</v>
      </c>
      <c r="N33" s="23">
        <v>8775</v>
      </c>
      <c r="O33" s="23">
        <v>53316</v>
      </c>
      <c r="P33" s="23">
        <v>1520</v>
      </c>
      <c r="Q33" s="23">
        <v>20830</v>
      </c>
      <c r="R33" s="23">
        <v>713</v>
      </c>
      <c r="S33" s="23">
        <v>10083</v>
      </c>
      <c r="T33" s="23">
        <v>3422</v>
      </c>
      <c r="U33" s="23">
        <v>1391</v>
      </c>
      <c r="V33" s="23">
        <v>395</v>
      </c>
      <c r="W33" s="23">
        <v>996</v>
      </c>
      <c r="X33" s="23">
        <v>270</v>
      </c>
      <c r="Y33" s="23">
        <v>207</v>
      </c>
      <c r="Z33" s="23">
        <v>63</v>
      </c>
      <c r="AA33" s="23">
        <v>1133</v>
      </c>
      <c r="AB33" s="23">
        <v>533</v>
      </c>
      <c r="AC33" s="23">
        <v>12436</v>
      </c>
      <c r="AD33" s="23">
        <v>986</v>
      </c>
      <c r="AE33" s="23">
        <v>12387</v>
      </c>
      <c r="AF33" s="23">
        <v>1340</v>
      </c>
      <c r="AG33" s="23">
        <v>11047</v>
      </c>
      <c r="AH33" s="23">
        <v>32507</v>
      </c>
      <c r="AI33" s="23">
        <v>9002</v>
      </c>
      <c r="AJ33" s="23">
        <v>782</v>
      </c>
      <c r="AK33" s="23">
        <v>7114</v>
      </c>
      <c r="AL33" s="23">
        <v>1107</v>
      </c>
      <c r="AM33" s="23">
        <v>23504</v>
      </c>
      <c r="AN33" s="23">
        <v>16454</v>
      </c>
      <c r="AO33" s="23">
        <v>3033</v>
      </c>
      <c r="AP33" s="23">
        <v>4017</v>
      </c>
      <c r="AQ33" s="23">
        <v>11105</v>
      </c>
      <c r="AR33" s="23">
        <v>8570</v>
      </c>
      <c r="AS33" s="23">
        <v>698</v>
      </c>
      <c r="AT33" s="23">
        <v>1837</v>
      </c>
      <c r="AU33" s="23">
        <v>12399</v>
      </c>
      <c r="AV33" s="23">
        <v>7885</v>
      </c>
      <c r="AW33" s="23">
        <v>2335</v>
      </c>
      <c r="AX33" s="23">
        <v>2180</v>
      </c>
    </row>
    <row r="34" spans="1:50" ht="12.75" customHeight="1">
      <c r="A34" s="58">
        <v>1987</v>
      </c>
      <c r="B34" s="23">
        <v>519117</v>
      </c>
      <c r="C34" s="23">
        <v>110162</v>
      </c>
      <c r="D34" s="23">
        <v>300069</v>
      </c>
      <c r="E34" s="23">
        <v>149211</v>
      </c>
      <c r="F34" s="23">
        <v>83081</v>
      </c>
      <c r="G34" s="23">
        <v>50339</v>
      </c>
      <c r="H34" s="23">
        <v>27868</v>
      </c>
      <c r="I34" s="23">
        <v>22471</v>
      </c>
      <c r="J34" s="23">
        <v>0</v>
      </c>
      <c r="K34" s="23">
        <v>0</v>
      </c>
      <c r="L34" s="23">
        <v>0</v>
      </c>
      <c r="M34" s="23">
        <v>8202</v>
      </c>
      <c r="N34" s="23">
        <v>9236</v>
      </c>
      <c r="O34" s="23">
        <v>59323</v>
      </c>
      <c r="P34" s="23">
        <v>1681</v>
      </c>
      <c r="Q34" s="23">
        <v>22985</v>
      </c>
      <c r="R34" s="23">
        <v>757</v>
      </c>
      <c r="S34" s="23">
        <v>11958</v>
      </c>
      <c r="T34" s="23">
        <v>3552</v>
      </c>
      <c r="U34" s="23">
        <v>1511</v>
      </c>
      <c r="V34" s="23">
        <v>433</v>
      </c>
      <c r="W34" s="23">
        <v>1078</v>
      </c>
      <c r="X34" s="23">
        <v>289</v>
      </c>
      <c r="Y34" s="23">
        <v>223</v>
      </c>
      <c r="Z34" s="23">
        <v>66</v>
      </c>
      <c r="AA34" s="23">
        <v>1197</v>
      </c>
      <c r="AB34" s="23">
        <v>644</v>
      </c>
      <c r="AC34" s="23">
        <v>13712</v>
      </c>
      <c r="AD34" s="23">
        <v>1040</v>
      </c>
      <c r="AE34" s="23">
        <v>13572</v>
      </c>
      <c r="AF34" s="23">
        <v>1529</v>
      </c>
      <c r="AG34" s="23">
        <v>12043</v>
      </c>
      <c r="AH34" s="23">
        <v>35991</v>
      </c>
      <c r="AI34" s="23">
        <v>10025</v>
      </c>
      <c r="AJ34" s="23">
        <v>800</v>
      </c>
      <c r="AK34" s="23">
        <v>7989</v>
      </c>
      <c r="AL34" s="23">
        <v>1236</v>
      </c>
      <c r="AM34" s="23">
        <v>25967</v>
      </c>
      <c r="AN34" s="23">
        <v>18133</v>
      </c>
      <c r="AO34" s="23">
        <v>3419</v>
      </c>
      <c r="AP34" s="23">
        <v>4415</v>
      </c>
      <c r="AQ34" s="23">
        <v>12508</v>
      </c>
      <c r="AR34" s="23">
        <v>9668</v>
      </c>
      <c r="AS34" s="23">
        <v>829</v>
      </c>
      <c r="AT34" s="23">
        <v>2011</v>
      </c>
      <c r="AU34" s="23">
        <v>13459</v>
      </c>
      <c r="AV34" s="23">
        <v>8465</v>
      </c>
      <c r="AW34" s="23">
        <v>2590</v>
      </c>
      <c r="AX34" s="23">
        <v>2404</v>
      </c>
    </row>
    <row r="35" spans="1:50" ht="12.75" customHeight="1">
      <c r="A35" s="58">
        <v>1988</v>
      </c>
      <c r="B35" s="23">
        <v>581698</v>
      </c>
      <c r="C35" s="23">
        <v>120828</v>
      </c>
      <c r="D35" s="23">
        <v>338359</v>
      </c>
      <c r="E35" s="23">
        <v>175906</v>
      </c>
      <c r="F35" s="23">
        <v>88965</v>
      </c>
      <c r="G35" s="23">
        <v>55080</v>
      </c>
      <c r="H35" s="23">
        <v>30995</v>
      </c>
      <c r="I35" s="23">
        <v>24085</v>
      </c>
      <c r="J35" s="23">
        <v>0</v>
      </c>
      <c r="K35" s="23">
        <v>0</v>
      </c>
      <c r="L35" s="23">
        <v>0</v>
      </c>
      <c r="M35" s="23">
        <v>8778</v>
      </c>
      <c r="N35" s="23">
        <v>9629</v>
      </c>
      <c r="O35" s="23">
        <v>67076</v>
      </c>
      <c r="P35" s="23">
        <v>1859</v>
      </c>
      <c r="Q35" s="23">
        <v>26936</v>
      </c>
      <c r="R35" s="23">
        <v>806</v>
      </c>
      <c r="S35" s="23">
        <v>13816</v>
      </c>
      <c r="T35" s="23">
        <v>3742</v>
      </c>
      <c r="U35" s="23">
        <v>1580</v>
      </c>
      <c r="V35" s="23">
        <v>459</v>
      </c>
      <c r="W35" s="23">
        <v>1121</v>
      </c>
      <c r="X35" s="23">
        <v>300</v>
      </c>
      <c r="Y35" s="23">
        <v>232</v>
      </c>
      <c r="Z35" s="23">
        <v>68</v>
      </c>
      <c r="AA35" s="23">
        <v>1272</v>
      </c>
      <c r="AB35" s="23">
        <v>884</v>
      </c>
      <c r="AC35" s="23">
        <v>14782</v>
      </c>
      <c r="AD35" s="23">
        <v>1099</v>
      </c>
      <c r="AE35" s="23">
        <v>15267</v>
      </c>
      <c r="AF35" s="23">
        <v>1795</v>
      </c>
      <c r="AG35" s="23">
        <v>13472</v>
      </c>
      <c r="AH35" s="23">
        <v>40168</v>
      </c>
      <c r="AI35" s="23">
        <v>10836</v>
      </c>
      <c r="AJ35" s="23">
        <v>839</v>
      </c>
      <c r="AK35" s="23">
        <v>8618</v>
      </c>
      <c r="AL35" s="23">
        <v>1379</v>
      </c>
      <c r="AM35" s="23">
        <v>29332</v>
      </c>
      <c r="AN35" s="23">
        <v>21330</v>
      </c>
      <c r="AO35" s="23">
        <v>3309</v>
      </c>
      <c r="AP35" s="23">
        <v>4693</v>
      </c>
      <c r="AQ35" s="23">
        <v>14438</v>
      </c>
      <c r="AR35" s="23">
        <v>11614</v>
      </c>
      <c r="AS35" s="23">
        <v>799</v>
      </c>
      <c r="AT35" s="23">
        <v>2025</v>
      </c>
      <c r="AU35" s="23">
        <v>14893</v>
      </c>
      <c r="AV35" s="23">
        <v>9715</v>
      </c>
      <c r="AW35" s="23">
        <v>2510</v>
      </c>
      <c r="AX35" s="23">
        <v>2668</v>
      </c>
    </row>
    <row r="36" spans="1:50" ht="12.75" customHeight="1">
      <c r="A36" s="58">
        <v>1989</v>
      </c>
      <c r="B36" s="23">
        <v>647465</v>
      </c>
      <c r="C36" s="23">
        <v>127313</v>
      </c>
      <c r="D36" s="23">
        <v>387493</v>
      </c>
      <c r="E36" s="23">
        <v>204997</v>
      </c>
      <c r="F36" s="23">
        <v>101137</v>
      </c>
      <c r="G36" s="23">
        <v>61952</v>
      </c>
      <c r="H36" s="23">
        <v>35077</v>
      </c>
      <c r="I36" s="23">
        <v>26876</v>
      </c>
      <c r="J36" s="23">
        <v>0</v>
      </c>
      <c r="K36" s="23">
        <v>0</v>
      </c>
      <c r="L36" s="23">
        <v>0</v>
      </c>
      <c r="M36" s="23">
        <v>9272</v>
      </c>
      <c r="N36" s="23">
        <v>10134</v>
      </c>
      <c r="O36" s="23">
        <v>70908</v>
      </c>
      <c r="P36" s="23">
        <v>2024</v>
      </c>
      <c r="Q36" s="23">
        <v>28262</v>
      </c>
      <c r="R36" s="23">
        <v>798</v>
      </c>
      <c r="S36" s="23">
        <v>15519</v>
      </c>
      <c r="T36" s="23">
        <v>4138</v>
      </c>
      <c r="U36" s="23">
        <v>1604</v>
      </c>
      <c r="V36" s="23">
        <v>476</v>
      </c>
      <c r="W36" s="23">
        <v>1128</v>
      </c>
      <c r="X36" s="23">
        <v>308</v>
      </c>
      <c r="Y36" s="23">
        <v>238</v>
      </c>
      <c r="Z36" s="23">
        <v>70</v>
      </c>
      <c r="AA36" s="23">
        <v>1331</v>
      </c>
      <c r="AB36" s="23">
        <v>698</v>
      </c>
      <c r="AC36" s="23">
        <v>15041</v>
      </c>
      <c r="AD36" s="23">
        <v>1185</v>
      </c>
      <c r="AE36" s="23">
        <v>17775</v>
      </c>
      <c r="AF36" s="23">
        <v>2030</v>
      </c>
      <c r="AG36" s="23">
        <v>15745</v>
      </c>
      <c r="AH36" s="23">
        <v>43977</v>
      </c>
      <c r="AI36" s="23">
        <v>11738</v>
      </c>
      <c r="AJ36" s="23">
        <v>882</v>
      </c>
      <c r="AK36" s="23">
        <v>9314</v>
      </c>
      <c r="AL36" s="23">
        <v>1542</v>
      </c>
      <c r="AM36" s="23">
        <v>32238</v>
      </c>
      <c r="AN36" s="23">
        <v>23299</v>
      </c>
      <c r="AO36" s="23">
        <v>3629</v>
      </c>
      <c r="AP36" s="23">
        <v>5310</v>
      </c>
      <c r="AQ36" s="23">
        <v>14978</v>
      </c>
      <c r="AR36" s="23">
        <v>12138</v>
      </c>
      <c r="AS36" s="23">
        <v>733</v>
      </c>
      <c r="AT36" s="23">
        <v>2107</v>
      </c>
      <c r="AU36" s="23">
        <v>17260</v>
      </c>
      <c r="AV36" s="23">
        <v>11162</v>
      </c>
      <c r="AW36" s="23">
        <v>2896</v>
      </c>
      <c r="AX36" s="23">
        <v>3203</v>
      </c>
    </row>
    <row r="37" spans="1:50" ht="18" customHeight="1">
      <c r="A37" s="58">
        <v>1990</v>
      </c>
      <c r="B37" s="23">
        <v>724278</v>
      </c>
      <c r="C37" s="23">
        <v>138643</v>
      </c>
      <c r="D37" s="23">
        <v>439458</v>
      </c>
      <c r="E37" s="23">
        <v>234231</v>
      </c>
      <c r="F37" s="23">
        <v>110182</v>
      </c>
      <c r="G37" s="23">
        <v>73661</v>
      </c>
      <c r="H37" s="23">
        <v>42607</v>
      </c>
      <c r="I37" s="23">
        <v>31054</v>
      </c>
      <c r="J37" s="23">
        <v>0</v>
      </c>
      <c r="K37" s="23">
        <v>0</v>
      </c>
      <c r="L37" s="23">
        <v>0</v>
      </c>
      <c r="M37" s="23">
        <v>10446</v>
      </c>
      <c r="N37" s="23">
        <v>10939</v>
      </c>
      <c r="O37" s="23">
        <v>77494</v>
      </c>
      <c r="P37" s="23">
        <v>2214</v>
      </c>
      <c r="Q37" s="23">
        <v>29554</v>
      </c>
      <c r="R37" s="23">
        <v>996</v>
      </c>
      <c r="S37" s="23">
        <v>17530</v>
      </c>
      <c r="T37" s="23">
        <v>5033</v>
      </c>
      <c r="U37" s="23">
        <v>1649</v>
      </c>
      <c r="V37" s="23">
        <v>478</v>
      </c>
      <c r="W37" s="23">
        <v>1171</v>
      </c>
      <c r="X37" s="23">
        <v>318</v>
      </c>
      <c r="Y37" s="23">
        <v>246</v>
      </c>
      <c r="Z37" s="23">
        <v>72</v>
      </c>
      <c r="AA37" s="23">
        <v>1556</v>
      </c>
      <c r="AB37" s="23">
        <v>1372</v>
      </c>
      <c r="AC37" s="23">
        <v>15981</v>
      </c>
      <c r="AD37" s="23">
        <v>1293</v>
      </c>
      <c r="AE37" s="23">
        <v>19996</v>
      </c>
      <c r="AF37" s="23">
        <v>2262</v>
      </c>
      <c r="AG37" s="23">
        <v>17734</v>
      </c>
      <c r="AH37" s="23">
        <v>48686</v>
      </c>
      <c r="AI37" s="23">
        <v>12678</v>
      </c>
      <c r="AJ37" s="23">
        <v>961</v>
      </c>
      <c r="AK37" s="23">
        <v>9981</v>
      </c>
      <c r="AL37" s="23">
        <v>1737</v>
      </c>
      <c r="AM37" s="23">
        <v>36008</v>
      </c>
      <c r="AN37" s="23">
        <v>26434</v>
      </c>
      <c r="AO37" s="23">
        <v>3747</v>
      </c>
      <c r="AP37" s="23">
        <v>5827</v>
      </c>
      <c r="AQ37" s="23">
        <v>17047</v>
      </c>
      <c r="AR37" s="23">
        <v>13800</v>
      </c>
      <c r="AS37" s="23">
        <v>832</v>
      </c>
      <c r="AT37" s="23">
        <v>2415</v>
      </c>
      <c r="AU37" s="23">
        <v>18961</v>
      </c>
      <c r="AV37" s="23">
        <v>12634</v>
      </c>
      <c r="AW37" s="23">
        <v>2915</v>
      </c>
      <c r="AX37" s="23">
        <v>3412</v>
      </c>
    </row>
    <row r="38" spans="1:50" ht="12.75" customHeight="1">
      <c r="A38" s="58">
        <v>1991</v>
      </c>
      <c r="B38" s="23">
        <v>791525</v>
      </c>
      <c r="C38" s="23">
        <v>141690</v>
      </c>
      <c r="D38" s="23">
        <v>492820</v>
      </c>
      <c r="E38" s="23">
        <v>255603</v>
      </c>
      <c r="F38" s="23">
        <v>120617</v>
      </c>
      <c r="G38" s="23">
        <v>93211</v>
      </c>
      <c r="H38" s="23">
        <v>56847</v>
      </c>
      <c r="I38" s="23">
        <v>36364</v>
      </c>
      <c r="J38" s="23">
        <v>0</v>
      </c>
      <c r="K38" s="23">
        <v>0</v>
      </c>
      <c r="L38" s="23">
        <v>0</v>
      </c>
      <c r="M38" s="23">
        <v>11536</v>
      </c>
      <c r="N38" s="23">
        <v>11852</v>
      </c>
      <c r="O38" s="23">
        <v>82842</v>
      </c>
      <c r="P38" s="23">
        <v>2325</v>
      </c>
      <c r="Q38" s="23">
        <v>31918</v>
      </c>
      <c r="R38" s="23">
        <v>1213</v>
      </c>
      <c r="S38" s="23">
        <v>18958</v>
      </c>
      <c r="T38" s="23">
        <v>5187</v>
      </c>
      <c r="U38" s="23">
        <v>1821</v>
      </c>
      <c r="V38" s="23">
        <v>518</v>
      </c>
      <c r="W38" s="23">
        <v>1303</v>
      </c>
      <c r="X38" s="23">
        <v>332</v>
      </c>
      <c r="Y38" s="23">
        <v>257</v>
      </c>
      <c r="Z38" s="23">
        <v>75</v>
      </c>
      <c r="AA38" s="23">
        <v>1844</v>
      </c>
      <c r="AB38" s="23">
        <v>1656</v>
      </c>
      <c r="AC38" s="23">
        <v>16224</v>
      </c>
      <c r="AD38" s="23">
        <v>1363</v>
      </c>
      <c r="AE38" s="23">
        <v>22127</v>
      </c>
      <c r="AF38" s="23">
        <v>2605</v>
      </c>
      <c r="AG38" s="23">
        <v>19522</v>
      </c>
      <c r="AH38" s="23">
        <v>52047</v>
      </c>
      <c r="AI38" s="23">
        <v>13819</v>
      </c>
      <c r="AJ38" s="23">
        <v>1091</v>
      </c>
      <c r="AK38" s="23">
        <v>10854</v>
      </c>
      <c r="AL38" s="23">
        <v>1874</v>
      </c>
      <c r="AM38" s="23">
        <v>38228</v>
      </c>
      <c r="AN38" s="23">
        <v>27709</v>
      </c>
      <c r="AO38" s="23">
        <v>4395</v>
      </c>
      <c r="AP38" s="23">
        <v>6124</v>
      </c>
      <c r="AQ38" s="23">
        <v>16802</v>
      </c>
      <c r="AR38" s="23">
        <v>13417</v>
      </c>
      <c r="AS38" s="23">
        <v>728</v>
      </c>
      <c r="AT38" s="23">
        <v>2657</v>
      </c>
      <c r="AU38" s="23">
        <v>21426</v>
      </c>
      <c r="AV38" s="23">
        <v>14292</v>
      </c>
      <c r="AW38" s="23">
        <v>3667</v>
      </c>
      <c r="AX38" s="23">
        <v>3467</v>
      </c>
    </row>
    <row r="39" spans="1:50" ht="12.75" customHeight="1">
      <c r="A39" s="58">
        <v>1992</v>
      </c>
      <c r="B39" s="23">
        <v>857910</v>
      </c>
      <c r="C39" s="23">
        <v>144215</v>
      </c>
      <c r="D39" s="23">
        <v>543976</v>
      </c>
      <c r="E39" s="23">
        <v>275579</v>
      </c>
      <c r="F39" s="23">
        <v>135996</v>
      </c>
      <c r="G39" s="23">
        <v>108186</v>
      </c>
      <c r="H39" s="23">
        <v>68602</v>
      </c>
      <c r="I39" s="23">
        <v>39585</v>
      </c>
      <c r="J39" s="23">
        <v>0</v>
      </c>
      <c r="K39" s="23">
        <v>0</v>
      </c>
      <c r="L39" s="23">
        <v>0</v>
      </c>
      <c r="M39" s="23">
        <v>11621</v>
      </c>
      <c r="N39" s="23">
        <v>12594</v>
      </c>
      <c r="O39" s="23">
        <v>88450</v>
      </c>
      <c r="P39" s="23">
        <v>2463</v>
      </c>
      <c r="Q39" s="23">
        <v>34341</v>
      </c>
      <c r="R39" s="23">
        <v>1444</v>
      </c>
      <c r="S39" s="23">
        <v>21100</v>
      </c>
      <c r="T39" s="23">
        <v>5531</v>
      </c>
      <c r="U39" s="23">
        <v>1978</v>
      </c>
      <c r="V39" s="23">
        <v>565</v>
      </c>
      <c r="W39" s="23">
        <v>1413</v>
      </c>
      <c r="X39" s="23">
        <v>343</v>
      </c>
      <c r="Y39" s="23">
        <v>264</v>
      </c>
      <c r="Z39" s="23">
        <v>79</v>
      </c>
      <c r="AA39" s="23">
        <v>2050</v>
      </c>
      <c r="AB39" s="23">
        <v>1685</v>
      </c>
      <c r="AC39" s="23">
        <v>16099</v>
      </c>
      <c r="AD39" s="23">
        <v>1416</v>
      </c>
      <c r="AE39" s="23">
        <v>24371</v>
      </c>
      <c r="AF39" s="23">
        <v>2912</v>
      </c>
      <c r="AG39" s="23">
        <v>21459</v>
      </c>
      <c r="AH39" s="23">
        <v>56898</v>
      </c>
      <c r="AI39" s="23">
        <v>15091</v>
      </c>
      <c r="AJ39" s="23">
        <v>1208</v>
      </c>
      <c r="AK39" s="23">
        <v>11902</v>
      </c>
      <c r="AL39" s="23">
        <v>1981</v>
      </c>
      <c r="AM39" s="23">
        <v>41806</v>
      </c>
      <c r="AN39" s="23">
        <v>30929</v>
      </c>
      <c r="AO39" s="23">
        <v>4291</v>
      </c>
      <c r="AP39" s="23">
        <v>6586</v>
      </c>
      <c r="AQ39" s="23">
        <v>18341</v>
      </c>
      <c r="AR39" s="23">
        <v>14586</v>
      </c>
      <c r="AS39" s="23">
        <v>743</v>
      </c>
      <c r="AT39" s="23">
        <v>3013</v>
      </c>
      <c r="AU39" s="23">
        <v>23465</v>
      </c>
      <c r="AV39" s="23">
        <v>16344</v>
      </c>
      <c r="AW39" s="23">
        <v>3548</v>
      </c>
      <c r="AX39" s="23">
        <v>3574</v>
      </c>
    </row>
    <row r="40" spans="1:50" ht="12.75" customHeight="1">
      <c r="A40" s="58">
        <v>1993</v>
      </c>
      <c r="B40" s="23">
        <v>921492</v>
      </c>
      <c r="C40" s="23">
        <v>145301</v>
      </c>
      <c r="D40" s="23">
        <v>594269</v>
      </c>
      <c r="E40" s="23">
        <v>296285</v>
      </c>
      <c r="F40" s="23">
        <v>149965</v>
      </c>
      <c r="G40" s="23">
        <v>122373</v>
      </c>
      <c r="H40" s="23">
        <v>76961</v>
      </c>
      <c r="I40" s="23">
        <v>45412</v>
      </c>
      <c r="J40" s="23">
        <v>0</v>
      </c>
      <c r="K40" s="23">
        <v>0</v>
      </c>
      <c r="L40" s="23">
        <v>0</v>
      </c>
      <c r="M40" s="23">
        <v>12025</v>
      </c>
      <c r="N40" s="23">
        <v>13621</v>
      </c>
      <c r="O40" s="23">
        <v>93965</v>
      </c>
      <c r="P40" s="23">
        <v>2588</v>
      </c>
      <c r="Q40" s="23">
        <v>36886</v>
      </c>
      <c r="R40" s="23">
        <v>1487</v>
      </c>
      <c r="S40" s="23">
        <v>22607</v>
      </c>
      <c r="T40" s="23">
        <v>5037</v>
      </c>
      <c r="U40" s="23">
        <v>2064</v>
      </c>
      <c r="V40" s="23">
        <v>578</v>
      </c>
      <c r="W40" s="23">
        <v>1485</v>
      </c>
      <c r="X40" s="23">
        <v>338</v>
      </c>
      <c r="Y40" s="23">
        <v>253</v>
      </c>
      <c r="Z40" s="23">
        <v>85</v>
      </c>
      <c r="AA40" s="23">
        <v>2265</v>
      </c>
      <c r="AB40" s="23">
        <v>1714</v>
      </c>
      <c r="AC40" s="23">
        <v>17426</v>
      </c>
      <c r="AD40" s="23">
        <v>1553</v>
      </c>
      <c r="AE40" s="23">
        <v>26776</v>
      </c>
      <c r="AF40" s="23">
        <v>3164</v>
      </c>
      <c r="AG40" s="23">
        <v>23613</v>
      </c>
      <c r="AH40" s="23">
        <v>61180</v>
      </c>
      <c r="AI40" s="23">
        <v>16472</v>
      </c>
      <c r="AJ40" s="23">
        <v>1298</v>
      </c>
      <c r="AK40" s="23">
        <v>13125</v>
      </c>
      <c r="AL40" s="23">
        <v>2049</v>
      </c>
      <c r="AM40" s="23">
        <v>44708</v>
      </c>
      <c r="AN40" s="23">
        <v>32818</v>
      </c>
      <c r="AO40" s="23">
        <v>4935</v>
      </c>
      <c r="AP40" s="23">
        <v>6955</v>
      </c>
      <c r="AQ40" s="23">
        <v>19929</v>
      </c>
      <c r="AR40" s="23">
        <v>15862</v>
      </c>
      <c r="AS40" s="23">
        <v>925</v>
      </c>
      <c r="AT40" s="23">
        <v>3142</v>
      </c>
      <c r="AU40" s="23">
        <v>24779</v>
      </c>
      <c r="AV40" s="23">
        <v>16957</v>
      </c>
      <c r="AW40" s="23">
        <v>4010</v>
      </c>
      <c r="AX40" s="23">
        <v>3813</v>
      </c>
    </row>
    <row r="41" spans="1:50" ht="12.75" customHeight="1">
      <c r="A41" s="58">
        <v>1994</v>
      </c>
      <c r="B41" s="23">
        <v>972687</v>
      </c>
      <c r="C41" s="23">
        <v>143458</v>
      </c>
      <c r="D41" s="23">
        <v>638026</v>
      </c>
      <c r="E41" s="23">
        <v>309497</v>
      </c>
      <c r="F41" s="23">
        <v>167670</v>
      </c>
      <c r="G41" s="23">
        <v>134414</v>
      </c>
      <c r="H41" s="23">
        <v>81052</v>
      </c>
      <c r="I41" s="23">
        <v>53363</v>
      </c>
      <c r="J41" s="23">
        <v>0</v>
      </c>
      <c r="K41" s="23">
        <v>0</v>
      </c>
      <c r="L41" s="23">
        <v>0</v>
      </c>
      <c r="M41" s="23">
        <v>11833</v>
      </c>
      <c r="N41" s="23">
        <v>14612</v>
      </c>
      <c r="O41" s="23">
        <v>97687</v>
      </c>
      <c r="P41" s="23">
        <v>2707</v>
      </c>
      <c r="Q41" s="23">
        <v>38724</v>
      </c>
      <c r="R41" s="23">
        <v>1507</v>
      </c>
      <c r="S41" s="23">
        <v>22189</v>
      </c>
      <c r="T41" s="23">
        <v>5451</v>
      </c>
      <c r="U41" s="23">
        <v>2151</v>
      </c>
      <c r="V41" s="23">
        <v>594</v>
      </c>
      <c r="W41" s="23">
        <v>1558</v>
      </c>
      <c r="X41" s="23">
        <v>360</v>
      </c>
      <c r="Y41" s="23">
        <v>271</v>
      </c>
      <c r="Z41" s="23">
        <v>89</v>
      </c>
      <c r="AA41" s="23">
        <v>2472</v>
      </c>
      <c r="AB41" s="23">
        <v>1889</v>
      </c>
      <c r="AC41" s="23">
        <v>18536</v>
      </c>
      <c r="AD41" s="23">
        <v>1701</v>
      </c>
      <c r="AE41" s="23">
        <v>29591</v>
      </c>
      <c r="AF41" s="23">
        <v>3626</v>
      </c>
      <c r="AG41" s="23">
        <v>25964</v>
      </c>
      <c r="AH41" s="23">
        <v>63926</v>
      </c>
      <c r="AI41" s="23">
        <v>17758</v>
      </c>
      <c r="AJ41" s="23">
        <v>1432</v>
      </c>
      <c r="AK41" s="23">
        <v>14149</v>
      </c>
      <c r="AL41" s="23">
        <v>2177</v>
      </c>
      <c r="AM41" s="23">
        <v>46168</v>
      </c>
      <c r="AN41" s="23">
        <v>34465</v>
      </c>
      <c r="AO41" s="23">
        <v>5037</v>
      </c>
      <c r="AP41" s="23">
        <v>6666</v>
      </c>
      <c r="AQ41" s="23">
        <v>20837</v>
      </c>
      <c r="AR41" s="23">
        <v>17052</v>
      </c>
      <c r="AS41" s="23">
        <v>853</v>
      </c>
      <c r="AT41" s="23">
        <v>2932</v>
      </c>
      <c r="AU41" s="23">
        <v>25331</v>
      </c>
      <c r="AV41" s="23">
        <v>17413</v>
      </c>
      <c r="AW41" s="23">
        <v>4184</v>
      </c>
      <c r="AX41" s="23">
        <v>3734</v>
      </c>
    </row>
    <row r="42" spans="1:50" ht="12.75" customHeight="1">
      <c r="A42" s="58">
        <v>1995</v>
      </c>
      <c r="B42" s="23">
        <v>1027432</v>
      </c>
      <c r="C42" s="23">
        <v>146356</v>
      </c>
      <c r="D42" s="23">
        <v>682912</v>
      </c>
      <c r="E42" s="23">
        <v>326772</v>
      </c>
      <c r="F42" s="23">
        <v>184393</v>
      </c>
      <c r="G42" s="23">
        <v>144862</v>
      </c>
      <c r="H42" s="23">
        <v>85946</v>
      </c>
      <c r="I42" s="23">
        <v>58917</v>
      </c>
      <c r="J42" s="23">
        <v>0</v>
      </c>
      <c r="K42" s="23">
        <v>0</v>
      </c>
      <c r="L42" s="23">
        <v>0</v>
      </c>
      <c r="M42" s="23">
        <v>12045</v>
      </c>
      <c r="N42" s="23">
        <v>14840</v>
      </c>
      <c r="O42" s="23">
        <v>101310</v>
      </c>
      <c r="P42" s="23">
        <v>2839</v>
      </c>
      <c r="Q42" s="23">
        <v>42837</v>
      </c>
      <c r="R42" s="23">
        <v>1654</v>
      </c>
      <c r="S42" s="23">
        <v>21914</v>
      </c>
      <c r="T42" s="23">
        <v>5437</v>
      </c>
      <c r="U42" s="23">
        <v>2189</v>
      </c>
      <c r="V42" s="23">
        <v>587</v>
      </c>
      <c r="W42" s="23">
        <v>1603</v>
      </c>
      <c r="X42" s="23">
        <v>360</v>
      </c>
      <c r="Y42" s="23">
        <v>271</v>
      </c>
      <c r="Z42" s="23">
        <v>89</v>
      </c>
      <c r="AA42" s="23">
        <v>2552</v>
      </c>
      <c r="AB42" s="23">
        <v>2067</v>
      </c>
      <c r="AC42" s="23">
        <v>17676</v>
      </c>
      <c r="AD42" s="23">
        <v>1785</v>
      </c>
      <c r="AE42" s="23">
        <v>30993</v>
      </c>
      <c r="AF42" s="23">
        <v>3655</v>
      </c>
      <c r="AG42" s="23">
        <v>27338</v>
      </c>
      <c r="AH42" s="23">
        <v>65861</v>
      </c>
      <c r="AI42" s="23">
        <v>18670</v>
      </c>
      <c r="AJ42" s="23">
        <v>1563</v>
      </c>
      <c r="AK42" s="23">
        <v>14733</v>
      </c>
      <c r="AL42" s="23">
        <v>2374</v>
      </c>
      <c r="AM42" s="23">
        <v>47192</v>
      </c>
      <c r="AN42" s="23">
        <v>35273</v>
      </c>
      <c r="AO42" s="23">
        <v>5098</v>
      </c>
      <c r="AP42" s="23">
        <v>6821</v>
      </c>
      <c r="AQ42" s="23">
        <v>20922</v>
      </c>
      <c r="AR42" s="23">
        <v>16892</v>
      </c>
      <c r="AS42" s="23">
        <v>989</v>
      </c>
      <c r="AT42" s="23">
        <v>3041</v>
      </c>
      <c r="AU42" s="23">
        <v>26270</v>
      </c>
      <c r="AV42" s="23">
        <v>18381</v>
      </c>
      <c r="AW42" s="23">
        <v>4109</v>
      </c>
      <c r="AX42" s="23">
        <v>3780</v>
      </c>
    </row>
    <row r="43" spans="1:50" ht="12.75" customHeight="1">
      <c r="A43" s="58">
        <v>1996</v>
      </c>
      <c r="B43" s="23">
        <v>1081849</v>
      </c>
      <c r="C43" s="23">
        <v>152194</v>
      </c>
      <c r="D43" s="23">
        <v>724243</v>
      </c>
      <c r="E43" s="23">
        <v>345803</v>
      </c>
      <c r="F43" s="23">
        <v>198750</v>
      </c>
      <c r="G43" s="23">
        <v>152170</v>
      </c>
      <c r="H43" s="23">
        <v>91099</v>
      </c>
      <c r="I43" s="23">
        <v>61071</v>
      </c>
      <c r="J43" s="23">
        <v>0</v>
      </c>
      <c r="K43" s="23">
        <v>0</v>
      </c>
      <c r="L43" s="23">
        <v>0</v>
      </c>
      <c r="M43" s="23">
        <v>11953</v>
      </c>
      <c r="N43" s="23">
        <v>15567</v>
      </c>
      <c r="O43" s="23">
        <v>105299</v>
      </c>
      <c r="P43" s="23">
        <v>2950</v>
      </c>
      <c r="Q43" s="23">
        <v>46495</v>
      </c>
      <c r="R43" s="23">
        <v>1633</v>
      </c>
      <c r="S43" s="23">
        <v>22050</v>
      </c>
      <c r="T43" s="23">
        <v>5414</v>
      </c>
      <c r="U43" s="23">
        <v>2244</v>
      </c>
      <c r="V43" s="23">
        <v>580</v>
      </c>
      <c r="W43" s="23">
        <v>1664</v>
      </c>
      <c r="X43" s="23">
        <v>352</v>
      </c>
      <c r="Y43" s="23">
        <v>263</v>
      </c>
      <c r="Z43" s="23">
        <v>89</v>
      </c>
      <c r="AA43" s="23">
        <v>2841</v>
      </c>
      <c r="AB43" s="23">
        <v>1783</v>
      </c>
      <c r="AC43" s="23">
        <v>17648</v>
      </c>
      <c r="AD43" s="23">
        <v>1890</v>
      </c>
      <c r="AE43" s="23">
        <v>32373</v>
      </c>
      <c r="AF43" s="23">
        <v>3755</v>
      </c>
      <c r="AG43" s="23">
        <v>28618</v>
      </c>
      <c r="AH43" s="23">
        <v>67740</v>
      </c>
      <c r="AI43" s="23">
        <v>17808</v>
      </c>
      <c r="AJ43" s="23">
        <v>1676</v>
      </c>
      <c r="AK43" s="23">
        <v>13554</v>
      </c>
      <c r="AL43" s="23">
        <v>2578</v>
      </c>
      <c r="AM43" s="23">
        <v>49932</v>
      </c>
      <c r="AN43" s="23">
        <v>37216</v>
      </c>
      <c r="AO43" s="23">
        <v>5863</v>
      </c>
      <c r="AP43" s="23">
        <v>6853</v>
      </c>
      <c r="AQ43" s="23">
        <v>21635</v>
      </c>
      <c r="AR43" s="23">
        <v>17471</v>
      </c>
      <c r="AS43" s="23">
        <v>1156</v>
      </c>
      <c r="AT43" s="23">
        <v>3008</v>
      </c>
      <c r="AU43" s="23">
        <v>28297</v>
      </c>
      <c r="AV43" s="23">
        <v>19745</v>
      </c>
      <c r="AW43" s="23">
        <v>4707</v>
      </c>
      <c r="AX43" s="23">
        <v>3845</v>
      </c>
    </row>
    <row r="44" spans="1:50" ht="12.75" customHeight="1">
      <c r="A44" s="58">
        <v>1997</v>
      </c>
      <c r="B44" s="23">
        <v>1142621</v>
      </c>
      <c r="C44" s="23">
        <v>163812</v>
      </c>
      <c r="D44" s="23">
        <v>761194</v>
      </c>
      <c r="E44" s="23">
        <v>362428</v>
      </c>
      <c r="F44" s="23">
        <v>210376</v>
      </c>
      <c r="G44" s="23">
        <v>160849</v>
      </c>
      <c r="H44" s="23">
        <v>94954</v>
      </c>
      <c r="I44" s="23">
        <v>65896</v>
      </c>
      <c r="J44" s="23">
        <v>0</v>
      </c>
      <c r="K44" s="23">
        <v>0</v>
      </c>
      <c r="L44" s="23">
        <v>0</v>
      </c>
      <c r="M44" s="23">
        <v>12052</v>
      </c>
      <c r="N44" s="23">
        <v>15488</v>
      </c>
      <c r="O44" s="23">
        <v>110604</v>
      </c>
      <c r="P44" s="23">
        <v>3084</v>
      </c>
      <c r="Q44" s="23">
        <v>51104</v>
      </c>
      <c r="R44" s="23">
        <v>1740</v>
      </c>
      <c r="S44" s="23">
        <v>22140</v>
      </c>
      <c r="T44" s="23">
        <v>5167</v>
      </c>
      <c r="U44" s="23">
        <v>2359</v>
      </c>
      <c r="V44" s="23">
        <v>582</v>
      </c>
      <c r="W44" s="23">
        <v>1777</v>
      </c>
      <c r="X44" s="23">
        <v>367</v>
      </c>
      <c r="Y44" s="23">
        <v>276</v>
      </c>
      <c r="Z44" s="23">
        <v>91</v>
      </c>
      <c r="AA44" s="23">
        <v>3118</v>
      </c>
      <c r="AB44" s="23">
        <v>1500</v>
      </c>
      <c r="AC44" s="23">
        <v>17986</v>
      </c>
      <c r="AD44" s="23">
        <v>2037</v>
      </c>
      <c r="AE44" s="23">
        <v>34827</v>
      </c>
      <c r="AF44" s="23">
        <v>3926</v>
      </c>
      <c r="AG44" s="23">
        <v>30901</v>
      </c>
      <c r="AH44" s="23">
        <v>72185</v>
      </c>
      <c r="AI44" s="23">
        <v>19640</v>
      </c>
      <c r="AJ44" s="23">
        <v>1870</v>
      </c>
      <c r="AK44" s="23">
        <v>15037</v>
      </c>
      <c r="AL44" s="23">
        <v>2733</v>
      </c>
      <c r="AM44" s="23">
        <v>52545</v>
      </c>
      <c r="AN44" s="23">
        <v>39811</v>
      </c>
      <c r="AO44" s="23">
        <v>5243</v>
      </c>
      <c r="AP44" s="23">
        <v>7491</v>
      </c>
      <c r="AQ44" s="23">
        <v>23153</v>
      </c>
      <c r="AR44" s="23">
        <v>18582</v>
      </c>
      <c r="AS44" s="23">
        <v>1346</v>
      </c>
      <c r="AT44" s="23">
        <v>3225</v>
      </c>
      <c r="AU44" s="23">
        <v>29392</v>
      </c>
      <c r="AV44" s="23">
        <v>21229</v>
      </c>
      <c r="AW44" s="23">
        <v>3897</v>
      </c>
      <c r="AX44" s="23">
        <v>4266</v>
      </c>
    </row>
    <row r="45" spans="1:50" ht="12.75" customHeight="1">
      <c r="A45" s="58">
        <v>1998</v>
      </c>
      <c r="B45" s="23">
        <v>1208933</v>
      </c>
      <c r="C45" s="23">
        <v>179413</v>
      </c>
      <c r="D45" s="23">
        <v>795294</v>
      </c>
      <c r="E45" s="23">
        <v>387900</v>
      </c>
      <c r="F45" s="23">
        <v>209420</v>
      </c>
      <c r="G45" s="23">
        <v>169029</v>
      </c>
      <c r="H45" s="23">
        <v>98661</v>
      </c>
      <c r="I45" s="23">
        <v>70368</v>
      </c>
      <c r="J45" s="23">
        <v>399</v>
      </c>
      <c r="K45" s="23">
        <v>276</v>
      </c>
      <c r="L45" s="23">
        <v>123</v>
      </c>
      <c r="M45" s="23">
        <v>12214</v>
      </c>
      <c r="N45" s="23">
        <v>16333</v>
      </c>
      <c r="O45" s="23">
        <v>117347</v>
      </c>
      <c r="P45" s="23">
        <v>3190</v>
      </c>
      <c r="Q45" s="23">
        <v>56150</v>
      </c>
      <c r="R45" s="23">
        <v>1754</v>
      </c>
      <c r="S45" s="23">
        <v>22364</v>
      </c>
      <c r="T45" s="23">
        <v>4928</v>
      </c>
      <c r="U45" s="23">
        <v>2418</v>
      </c>
      <c r="V45" s="23">
        <v>588</v>
      </c>
      <c r="W45" s="23">
        <v>1830</v>
      </c>
      <c r="X45" s="23">
        <v>378</v>
      </c>
      <c r="Y45" s="23">
        <v>286</v>
      </c>
      <c r="Z45" s="23">
        <v>92</v>
      </c>
      <c r="AA45" s="23">
        <v>3395</v>
      </c>
      <c r="AB45" s="23">
        <v>2026</v>
      </c>
      <c r="AC45" s="23">
        <v>18548</v>
      </c>
      <c r="AD45" s="23">
        <v>2197</v>
      </c>
      <c r="AE45" s="23">
        <v>37455</v>
      </c>
      <c r="AF45" s="23">
        <v>4063</v>
      </c>
      <c r="AG45" s="23">
        <v>33392</v>
      </c>
      <c r="AH45" s="23">
        <v>79424</v>
      </c>
      <c r="AI45" s="23">
        <v>21506</v>
      </c>
      <c r="AJ45" s="23">
        <v>2040</v>
      </c>
      <c r="AK45" s="23">
        <v>16616</v>
      </c>
      <c r="AL45" s="23">
        <v>2850</v>
      </c>
      <c r="AM45" s="23">
        <v>57917</v>
      </c>
      <c r="AN45" s="23">
        <v>44268</v>
      </c>
      <c r="AO45" s="23">
        <v>5779</v>
      </c>
      <c r="AP45" s="23">
        <v>7870</v>
      </c>
      <c r="AQ45" s="23">
        <v>23746</v>
      </c>
      <c r="AR45" s="23">
        <v>19541</v>
      </c>
      <c r="AS45" s="23">
        <v>1018</v>
      </c>
      <c r="AT45" s="23">
        <v>3187</v>
      </c>
      <c r="AU45" s="23">
        <v>34171</v>
      </c>
      <c r="AV45" s="23">
        <v>24727</v>
      </c>
      <c r="AW45" s="23">
        <v>4761</v>
      </c>
      <c r="AX45" s="23">
        <v>4683</v>
      </c>
    </row>
    <row r="46" spans="1:50" ht="12.75" customHeight="1">
      <c r="A46" s="58">
        <v>1999</v>
      </c>
      <c r="B46" s="23">
        <v>1286456</v>
      </c>
      <c r="C46" s="23">
        <v>190448</v>
      </c>
      <c r="D46" s="23">
        <v>848218</v>
      </c>
      <c r="E46" s="23">
        <v>419600</v>
      </c>
      <c r="F46" s="23">
        <v>213173</v>
      </c>
      <c r="G46" s="23">
        <v>183534</v>
      </c>
      <c r="H46" s="23">
        <v>107200</v>
      </c>
      <c r="I46" s="23">
        <v>76334</v>
      </c>
      <c r="J46" s="23">
        <v>1723</v>
      </c>
      <c r="K46" s="23">
        <v>1199</v>
      </c>
      <c r="L46" s="23">
        <v>524</v>
      </c>
      <c r="M46" s="23">
        <v>12679</v>
      </c>
      <c r="N46" s="23">
        <v>17509</v>
      </c>
      <c r="O46" s="23">
        <v>121557</v>
      </c>
      <c r="P46" s="23">
        <v>3291</v>
      </c>
      <c r="Q46" s="23">
        <v>58248</v>
      </c>
      <c r="R46" s="23">
        <v>1837</v>
      </c>
      <c r="S46" s="23">
        <v>23931</v>
      </c>
      <c r="T46" s="23">
        <v>3874</v>
      </c>
      <c r="U46" s="23">
        <v>2529</v>
      </c>
      <c r="V46" s="23">
        <v>603</v>
      </c>
      <c r="W46" s="23">
        <v>1926</v>
      </c>
      <c r="X46" s="23">
        <v>389</v>
      </c>
      <c r="Y46" s="23">
        <v>293</v>
      </c>
      <c r="Z46" s="23">
        <v>96</v>
      </c>
      <c r="AA46" s="23">
        <v>3842</v>
      </c>
      <c r="AB46" s="23">
        <v>2395</v>
      </c>
      <c r="AC46" s="23">
        <v>18890</v>
      </c>
      <c r="AD46" s="23">
        <v>2330</v>
      </c>
      <c r="AE46" s="23">
        <v>40729</v>
      </c>
      <c r="AF46" s="23">
        <v>4544</v>
      </c>
      <c r="AG46" s="23">
        <v>36185</v>
      </c>
      <c r="AH46" s="23">
        <v>85504</v>
      </c>
      <c r="AI46" s="23">
        <v>23369</v>
      </c>
      <c r="AJ46" s="23">
        <v>2149</v>
      </c>
      <c r="AK46" s="23">
        <v>18124</v>
      </c>
      <c r="AL46" s="23">
        <v>3096</v>
      </c>
      <c r="AM46" s="23">
        <v>62135</v>
      </c>
      <c r="AN46" s="23">
        <v>48151</v>
      </c>
      <c r="AO46" s="23">
        <v>6060</v>
      </c>
      <c r="AP46" s="23">
        <v>7924</v>
      </c>
      <c r="AQ46" s="23">
        <v>25405</v>
      </c>
      <c r="AR46" s="23">
        <v>21581</v>
      </c>
      <c r="AS46" s="23">
        <v>852</v>
      </c>
      <c r="AT46" s="23">
        <v>2972</v>
      </c>
      <c r="AU46" s="23">
        <v>36730</v>
      </c>
      <c r="AV46" s="23">
        <v>26570</v>
      </c>
      <c r="AW46" s="23">
        <v>5208</v>
      </c>
      <c r="AX46" s="23">
        <v>4952</v>
      </c>
    </row>
    <row r="47" spans="1:50" ht="18" customHeight="1">
      <c r="A47" s="58">
        <v>2000</v>
      </c>
      <c r="B47" s="23">
        <v>1377178</v>
      </c>
      <c r="C47" s="23">
        <v>201737</v>
      </c>
      <c r="D47" s="23">
        <v>920362</v>
      </c>
      <c r="E47" s="23">
        <v>459203</v>
      </c>
      <c r="F47" s="23">
        <v>224829</v>
      </c>
      <c r="G47" s="23">
        <v>200483</v>
      </c>
      <c r="H47" s="23">
        <v>116919</v>
      </c>
      <c r="I47" s="23">
        <v>83564</v>
      </c>
      <c r="J47" s="23">
        <v>3012</v>
      </c>
      <c r="K47" s="23">
        <v>2097</v>
      </c>
      <c r="L47" s="23">
        <v>915</v>
      </c>
      <c r="M47" s="23">
        <v>13753</v>
      </c>
      <c r="N47" s="23">
        <v>19082</v>
      </c>
      <c r="O47" s="23">
        <v>124486</v>
      </c>
      <c r="P47" s="23">
        <v>3481</v>
      </c>
      <c r="Q47" s="23">
        <v>57452</v>
      </c>
      <c r="R47" s="23">
        <v>1982</v>
      </c>
      <c r="S47" s="23">
        <v>26198</v>
      </c>
      <c r="T47" s="23">
        <v>3940</v>
      </c>
      <c r="U47" s="23">
        <v>2686</v>
      </c>
      <c r="V47" s="23">
        <v>609</v>
      </c>
      <c r="W47" s="23">
        <v>2077</v>
      </c>
      <c r="X47" s="23">
        <v>421</v>
      </c>
      <c r="Y47" s="23">
        <v>317</v>
      </c>
      <c r="Z47" s="23">
        <v>104</v>
      </c>
      <c r="AA47" s="23">
        <v>4488</v>
      </c>
      <c r="AB47" s="23">
        <v>2564</v>
      </c>
      <c r="AC47" s="23">
        <v>18791</v>
      </c>
      <c r="AD47" s="23">
        <v>2483</v>
      </c>
      <c r="AE47" s="23">
        <v>43047</v>
      </c>
      <c r="AF47" s="23">
        <v>4876</v>
      </c>
      <c r="AG47" s="23">
        <v>38170</v>
      </c>
      <c r="AH47" s="23">
        <v>87546</v>
      </c>
      <c r="AI47" s="23">
        <v>25465</v>
      </c>
      <c r="AJ47" s="23">
        <v>2420</v>
      </c>
      <c r="AK47" s="23">
        <v>19695</v>
      </c>
      <c r="AL47" s="23">
        <v>3350</v>
      </c>
      <c r="AM47" s="23">
        <v>62080</v>
      </c>
      <c r="AN47" s="23">
        <v>47984</v>
      </c>
      <c r="AO47" s="23">
        <v>5852</v>
      </c>
      <c r="AP47" s="23">
        <v>8244</v>
      </c>
      <c r="AQ47" s="23">
        <v>25374</v>
      </c>
      <c r="AR47" s="23">
        <v>21560</v>
      </c>
      <c r="AS47" s="23">
        <v>774</v>
      </c>
      <c r="AT47" s="23">
        <v>3040</v>
      </c>
      <c r="AU47" s="23">
        <v>36706</v>
      </c>
      <c r="AV47" s="23">
        <v>26424</v>
      </c>
      <c r="AW47" s="23">
        <v>5078</v>
      </c>
      <c r="AX47" s="23">
        <v>5204</v>
      </c>
    </row>
    <row r="48" spans="1:50" ht="12.75" customHeight="1">
      <c r="A48" s="58">
        <v>2001</v>
      </c>
      <c r="B48" s="23">
        <v>1493347</v>
      </c>
      <c r="C48" s="23">
        <v>209011</v>
      </c>
      <c r="D48" s="23">
        <v>1015168</v>
      </c>
      <c r="E48" s="23">
        <v>502495</v>
      </c>
      <c r="F48" s="23">
        <v>247686</v>
      </c>
      <c r="G48" s="23">
        <v>224236</v>
      </c>
      <c r="H48" s="23">
        <v>132288</v>
      </c>
      <c r="I48" s="23">
        <v>91948</v>
      </c>
      <c r="J48" s="23">
        <v>4167</v>
      </c>
      <c r="K48" s="23">
        <v>2913</v>
      </c>
      <c r="L48" s="23">
        <v>1253</v>
      </c>
      <c r="M48" s="23">
        <v>15502</v>
      </c>
      <c r="N48" s="23">
        <v>21083</v>
      </c>
      <c r="O48" s="23">
        <v>131106</v>
      </c>
      <c r="P48" s="23">
        <v>3613</v>
      </c>
      <c r="Q48" s="23">
        <v>56410</v>
      </c>
      <c r="R48" s="23">
        <v>2201</v>
      </c>
      <c r="S48" s="23">
        <v>29722</v>
      </c>
      <c r="T48" s="23">
        <v>4819</v>
      </c>
      <c r="U48" s="23">
        <v>2681</v>
      </c>
      <c r="V48" s="23">
        <v>619</v>
      </c>
      <c r="W48" s="23">
        <v>2062</v>
      </c>
      <c r="X48" s="23">
        <v>449</v>
      </c>
      <c r="Y48" s="23">
        <v>342</v>
      </c>
      <c r="Z48" s="23">
        <v>107</v>
      </c>
      <c r="AA48" s="23">
        <v>5301</v>
      </c>
      <c r="AB48" s="23">
        <v>2812</v>
      </c>
      <c r="AC48" s="23">
        <v>20408</v>
      </c>
      <c r="AD48" s="23">
        <v>2689</v>
      </c>
      <c r="AE48" s="23">
        <v>46789</v>
      </c>
      <c r="AF48" s="23">
        <v>5775</v>
      </c>
      <c r="AG48" s="23">
        <v>41013</v>
      </c>
      <c r="AH48" s="23">
        <v>91274</v>
      </c>
      <c r="AI48" s="23">
        <v>28510</v>
      </c>
      <c r="AJ48" s="23">
        <v>2464</v>
      </c>
      <c r="AK48" s="23">
        <v>22437</v>
      </c>
      <c r="AL48" s="23">
        <v>3608</v>
      </c>
      <c r="AM48" s="23">
        <v>62764</v>
      </c>
      <c r="AN48" s="23">
        <v>48440</v>
      </c>
      <c r="AO48" s="23">
        <v>5735</v>
      </c>
      <c r="AP48" s="23">
        <v>8589</v>
      </c>
      <c r="AQ48" s="23">
        <v>26118</v>
      </c>
      <c r="AR48" s="23">
        <v>22081</v>
      </c>
      <c r="AS48" s="23">
        <v>723</v>
      </c>
      <c r="AT48" s="23">
        <v>3314</v>
      </c>
      <c r="AU48" s="23">
        <v>36646</v>
      </c>
      <c r="AV48" s="23">
        <v>26359</v>
      </c>
      <c r="AW48" s="23">
        <v>5012</v>
      </c>
      <c r="AX48" s="23">
        <v>5275</v>
      </c>
    </row>
    <row r="49" spans="1:50" ht="12.75" customHeight="1">
      <c r="A49" s="58">
        <v>2002</v>
      </c>
      <c r="B49" s="23">
        <v>1637956</v>
      </c>
      <c r="C49" s="23">
        <v>221866</v>
      </c>
      <c r="D49" s="23">
        <v>1122310</v>
      </c>
      <c r="E49" s="23">
        <v>561417</v>
      </c>
      <c r="F49" s="23">
        <v>265381</v>
      </c>
      <c r="G49" s="23">
        <v>248218</v>
      </c>
      <c r="H49" s="23">
        <v>145339</v>
      </c>
      <c r="I49" s="23">
        <v>102878</v>
      </c>
      <c r="J49" s="23">
        <v>5485</v>
      </c>
      <c r="K49" s="23">
        <v>3832</v>
      </c>
      <c r="L49" s="23">
        <v>1653</v>
      </c>
      <c r="M49" s="23">
        <v>19027</v>
      </c>
      <c r="N49" s="23">
        <v>22782</v>
      </c>
      <c r="O49" s="23">
        <v>139688</v>
      </c>
      <c r="P49" s="23">
        <v>3730</v>
      </c>
      <c r="Q49" s="23">
        <v>58679</v>
      </c>
      <c r="R49" s="23">
        <v>2196</v>
      </c>
      <c r="S49" s="23">
        <v>33404</v>
      </c>
      <c r="T49" s="23">
        <v>5138</v>
      </c>
      <c r="U49" s="23">
        <v>2668</v>
      </c>
      <c r="V49" s="23">
        <v>636</v>
      </c>
      <c r="W49" s="23">
        <v>2032</v>
      </c>
      <c r="X49" s="23">
        <v>462</v>
      </c>
      <c r="Y49" s="23">
        <v>355</v>
      </c>
      <c r="Z49" s="23">
        <v>107</v>
      </c>
      <c r="AA49" s="23">
        <v>5695</v>
      </c>
      <c r="AB49" s="23">
        <v>3006</v>
      </c>
      <c r="AC49" s="23">
        <v>21823</v>
      </c>
      <c r="AD49" s="23">
        <v>2888</v>
      </c>
      <c r="AE49" s="23">
        <v>52047</v>
      </c>
      <c r="AF49" s="23">
        <v>8013</v>
      </c>
      <c r="AG49" s="23">
        <v>44035</v>
      </c>
      <c r="AH49" s="23">
        <v>102044</v>
      </c>
      <c r="AI49" s="23">
        <v>32016</v>
      </c>
      <c r="AJ49" s="23">
        <v>2550</v>
      </c>
      <c r="AK49" s="23">
        <v>25569</v>
      </c>
      <c r="AL49" s="23">
        <v>3897</v>
      </c>
      <c r="AM49" s="23">
        <v>70028</v>
      </c>
      <c r="AN49" s="23">
        <v>54863</v>
      </c>
      <c r="AO49" s="23">
        <v>5822</v>
      </c>
      <c r="AP49" s="23">
        <v>9343</v>
      </c>
      <c r="AQ49" s="23">
        <v>29260</v>
      </c>
      <c r="AR49" s="23">
        <v>24271</v>
      </c>
      <c r="AS49" s="23">
        <v>875</v>
      </c>
      <c r="AT49" s="23">
        <v>4114</v>
      </c>
      <c r="AU49" s="23">
        <v>40768</v>
      </c>
      <c r="AV49" s="23">
        <v>30592</v>
      </c>
      <c r="AW49" s="23">
        <v>4947</v>
      </c>
      <c r="AX49" s="23">
        <v>5229</v>
      </c>
    </row>
    <row r="50" spans="1:50" ht="12.75" customHeight="1">
      <c r="A50" s="58">
        <v>2003</v>
      </c>
      <c r="B50" s="23">
        <v>1775439</v>
      </c>
      <c r="C50" s="23">
        <v>236372</v>
      </c>
      <c r="D50" s="23">
        <v>1222746</v>
      </c>
      <c r="E50" s="23">
        <v>615729</v>
      </c>
      <c r="F50" s="23">
        <v>282697</v>
      </c>
      <c r="G50" s="23">
        <v>269105</v>
      </c>
      <c r="H50" s="23">
        <v>160895</v>
      </c>
      <c r="I50" s="23">
        <v>108210</v>
      </c>
      <c r="J50" s="23">
        <v>6296</v>
      </c>
      <c r="K50" s="23">
        <v>4410</v>
      </c>
      <c r="L50" s="23">
        <v>1887</v>
      </c>
      <c r="M50" s="23">
        <v>22402</v>
      </c>
      <c r="N50" s="23">
        <v>26517</v>
      </c>
      <c r="O50" s="23">
        <v>152826</v>
      </c>
      <c r="P50" s="23">
        <v>3880</v>
      </c>
      <c r="Q50" s="23">
        <v>64049</v>
      </c>
      <c r="R50" s="23">
        <v>2333</v>
      </c>
      <c r="S50" s="23">
        <v>37750</v>
      </c>
      <c r="T50" s="23">
        <v>5591</v>
      </c>
      <c r="U50" s="23">
        <v>2661</v>
      </c>
      <c r="V50" s="23">
        <v>634</v>
      </c>
      <c r="W50" s="23">
        <v>2027</v>
      </c>
      <c r="X50" s="23">
        <v>467</v>
      </c>
      <c r="Y50" s="23">
        <v>359</v>
      </c>
      <c r="Z50" s="23">
        <v>108</v>
      </c>
      <c r="AA50" s="23">
        <v>6013</v>
      </c>
      <c r="AB50" s="23">
        <v>3093</v>
      </c>
      <c r="AC50" s="23">
        <v>23957</v>
      </c>
      <c r="AD50" s="23">
        <v>3032</v>
      </c>
      <c r="AE50" s="23">
        <v>53531</v>
      </c>
      <c r="AF50" s="23">
        <v>8893</v>
      </c>
      <c r="AG50" s="23">
        <v>44637</v>
      </c>
      <c r="AH50" s="23">
        <v>109964</v>
      </c>
      <c r="AI50" s="23">
        <v>34863</v>
      </c>
      <c r="AJ50" s="23">
        <v>2738</v>
      </c>
      <c r="AK50" s="23">
        <v>27905</v>
      </c>
      <c r="AL50" s="23">
        <v>4221</v>
      </c>
      <c r="AM50" s="23">
        <v>75101</v>
      </c>
      <c r="AN50" s="23">
        <v>58890</v>
      </c>
      <c r="AO50" s="23">
        <v>6518</v>
      </c>
      <c r="AP50" s="23">
        <v>9693</v>
      </c>
      <c r="AQ50" s="23">
        <v>30911</v>
      </c>
      <c r="AR50" s="23">
        <v>26059</v>
      </c>
      <c r="AS50" s="23">
        <v>667</v>
      </c>
      <c r="AT50" s="23">
        <v>4185</v>
      </c>
      <c r="AU50" s="23">
        <v>44190</v>
      </c>
      <c r="AV50" s="23">
        <v>32831</v>
      </c>
      <c r="AW50" s="23">
        <v>5851</v>
      </c>
      <c r="AX50" s="23">
        <v>5508</v>
      </c>
    </row>
    <row r="51" spans="1:50" ht="12.75" customHeight="1">
      <c r="A51" s="58">
        <v>2004</v>
      </c>
      <c r="B51" s="23">
        <v>1901599</v>
      </c>
      <c r="C51" s="23">
        <v>248461</v>
      </c>
      <c r="D51" s="23">
        <v>1322906</v>
      </c>
      <c r="E51" s="23">
        <v>660495</v>
      </c>
      <c r="F51" s="23">
        <v>311162</v>
      </c>
      <c r="G51" s="23">
        <v>290917</v>
      </c>
      <c r="H51" s="23">
        <v>172437</v>
      </c>
      <c r="I51" s="23">
        <v>118480</v>
      </c>
      <c r="J51" s="23">
        <v>7167</v>
      </c>
      <c r="K51" s="23">
        <v>4982</v>
      </c>
      <c r="L51" s="23">
        <v>2185</v>
      </c>
      <c r="M51" s="23">
        <v>25213</v>
      </c>
      <c r="N51" s="23">
        <v>27951</v>
      </c>
      <c r="O51" s="23">
        <v>159045</v>
      </c>
      <c r="P51" s="23">
        <v>4050</v>
      </c>
      <c r="Q51" s="23">
        <v>66135</v>
      </c>
      <c r="R51" s="23">
        <v>2458</v>
      </c>
      <c r="S51" s="23">
        <v>38982</v>
      </c>
      <c r="T51" s="23">
        <v>5904</v>
      </c>
      <c r="U51" s="23">
        <v>2626</v>
      </c>
      <c r="V51" s="23">
        <v>635</v>
      </c>
      <c r="W51" s="23">
        <v>1992</v>
      </c>
      <c r="X51" s="23">
        <v>471</v>
      </c>
      <c r="Y51" s="23">
        <v>361</v>
      </c>
      <c r="Z51" s="23">
        <v>110</v>
      </c>
      <c r="AA51" s="23">
        <v>6273</v>
      </c>
      <c r="AB51" s="23">
        <v>3125</v>
      </c>
      <c r="AC51" s="23">
        <v>25828</v>
      </c>
      <c r="AD51" s="23">
        <v>3193</v>
      </c>
      <c r="AE51" s="23">
        <v>53782</v>
      </c>
      <c r="AF51" s="23">
        <v>8942</v>
      </c>
      <c r="AG51" s="23">
        <v>44840</v>
      </c>
      <c r="AH51" s="23">
        <v>117404</v>
      </c>
      <c r="AI51" s="23">
        <v>38508</v>
      </c>
      <c r="AJ51" s="23">
        <v>2991</v>
      </c>
      <c r="AK51" s="23">
        <v>31001</v>
      </c>
      <c r="AL51" s="23">
        <v>4516</v>
      </c>
      <c r="AM51" s="23">
        <v>78897</v>
      </c>
      <c r="AN51" s="23">
        <v>62823</v>
      </c>
      <c r="AO51" s="23">
        <v>5732</v>
      </c>
      <c r="AP51" s="23">
        <v>10342</v>
      </c>
      <c r="AQ51" s="23">
        <v>33062</v>
      </c>
      <c r="AR51" s="23">
        <v>27971</v>
      </c>
      <c r="AS51" s="23">
        <v>659</v>
      </c>
      <c r="AT51" s="23">
        <v>4432</v>
      </c>
      <c r="AU51" s="23">
        <v>45834</v>
      </c>
      <c r="AV51" s="23">
        <v>34851</v>
      </c>
      <c r="AW51" s="23">
        <v>5073</v>
      </c>
      <c r="AX51" s="23">
        <v>5910</v>
      </c>
    </row>
    <row r="52" spans="1:50" ht="12.75" customHeight="1">
      <c r="A52" s="58">
        <v>2005</v>
      </c>
      <c r="B52" s="23">
        <v>2030497</v>
      </c>
      <c r="C52" s="23">
        <v>262897</v>
      </c>
      <c r="D52" s="23">
        <v>1417506</v>
      </c>
      <c r="E52" s="23">
        <v>704039</v>
      </c>
      <c r="F52" s="23">
        <v>339801</v>
      </c>
      <c r="G52" s="23">
        <v>309538</v>
      </c>
      <c r="H52" s="23">
        <v>177644</v>
      </c>
      <c r="I52" s="23">
        <v>131895</v>
      </c>
      <c r="J52" s="23">
        <v>7566</v>
      </c>
      <c r="K52" s="23">
        <v>5253</v>
      </c>
      <c r="L52" s="23">
        <v>2313</v>
      </c>
      <c r="M52" s="23">
        <v>26759</v>
      </c>
      <c r="N52" s="23">
        <v>29803</v>
      </c>
      <c r="O52" s="23">
        <v>167612</v>
      </c>
      <c r="P52" s="23">
        <v>4224</v>
      </c>
      <c r="Q52" s="23">
        <v>70321</v>
      </c>
      <c r="R52" s="23">
        <v>2488</v>
      </c>
      <c r="S52" s="23">
        <v>41263</v>
      </c>
      <c r="T52" s="23">
        <v>6195</v>
      </c>
      <c r="U52" s="23">
        <v>2643</v>
      </c>
      <c r="V52" s="23">
        <v>622</v>
      </c>
      <c r="W52" s="23">
        <v>2022</v>
      </c>
      <c r="X52" s="23">
        <v>461</v>
      </c>
      <c r="Y52" s="23">
        <v>355</v>
      </c>
      <c r="Z52" s="23">
        <v>106</v>
      </c>
      <c r="AA52" s="23">
        <v>6349</v>
      </c>
      <c r="AB52" s="23">
        <v>3219</v>
      </c>
      <c r="AC52" s="23">
        <v>27098</v>
      </c>
      <c r="AD52" s="23">
        <v>3351</v>
      </c>
      <c r="AE52" s="23">
        <v>55974</v>
      </c>
      <c r="AF52" s="23">
        <v>9129</v>
      </c>
      <c r="AG52" s="23">
        <v>46846</v>
      </c>
      <c r="AH52" s="23">
        <v>126508</v>
      </c>
      <c r="AI52" s="23">
        <v>40322</v>
      </c>
      <c r="AJ52" s="23">
        <v>3347</v>
      </c>
      <c r="AK52" s="23">
        <v>32389</v>
      </c>
      <c r="AL52" s="23">
        <v>4586</v>
      </c>
      <c r="AM52" s="23">
        <v>86186</v>
      </c>
      <c r="AN52" s="23">
        <v>68408</v>
      </c>
      <c r="AO52" s="23">
        <v>6467</v>
      </c>
      <c r="AP52" s="23">
        <v>11311</v>
      </c>
      <c r="AQ52" s="23">
        <v>36206</v>
      </c>
      <c r="AR52" s="23">
        <v>30465</v>
      </c>
      <c r="AS52" s="23">
        <v>759</v>
      </c>
      <c r="AT52" s="23">
        <v>4982</v>
      </c>
      <c r="AU52" s="23">
        <v>49980</v>
      </c>
      <c r="AV52" s="23">
        <v>37943</v>
      </c>
      <c r="AW52" s="23">
        <v>5708</v>
      </c>
      <c r="AX52" s="23">
        <v>6329</v>
      </c>
    </row>
    <row r="53" spans="1:50" ht="12.75" customHeight="1">
      <c r="A53" s="58">
        <v>2006</v>
      </c>
      <c r="B53" s="23">
        <v>2163293</v>
      </c>
      <c r="C53" s="23">
        <v>271639</v>
      </c>
      <c r="D53" s="23">
        <v>1522116</v>
      </c>
      <c r="E53" s="23">
        <v>741641</v>
      </c>
      <c r="F53" s="23">
        <v>403728</v>
      </c>
      <c r="G53" s="23">
        <v>306865</v>
      </c>
      <c r="H53" s="23">
        <v>174074</v>
      </c>
      <c r="I53" s="23">
        <v>132792</v>
      </c>
      <c r="J53" s="23">
        <v>8366</v>
      </c>
      <c r="K53" s="23">
        <v>5756</v>
      </c>
      <c r="L53" s="23">
        <v>2610</v>
      </c>
      <c r="M53" s="23">
        <v>29655</v>
      </c>
      <c r="N53" s="23">
        <v>31861</v>
      </c>
      <c r="O53" s="23">
        <v>176336</v>
      </c>
      <c r="P53" s="23">
        <v>4327</v>
      </c>
      <c r="Q53" s="23">
        <v>77334</v>
      </c>
      <c r="R53" s="23">
        <v>2591</v>
      </c>
      <c r="S53" s="23">
        <v>41397</v>
      </c>
      <c r="T53" s="23">
        <v>6721</v>
      </c>
      <c r="U53" s="23">
        <v>2660</v>
      </c>
      <c r="V53" s="23">
        <v>598</v>
      </c>
      <c r="W53" s="23">
        <v>2062</v>
      </c>
      <c r="X53" s="23">
        <v>483</v>
      </c>
      <c r="Y53" s="23">
        <v>377</v>
      </c>
      <c r="Z53" s="23">
        <v>106</v>
      </c>
      <c r="AA53" s="23">
        <v>6396</v>
      </c>
      <c r="AB53" s="23">
        <v>3153</v>
      </c>
      <c r="AC53" s="23">
        <v>27678</v>
      </c>
      <c r="AD53" s="23">
        <v>3596</v>
      </c>
      <c r="AE53" s="23">
        <v>62260</v>
      </c>
      <c r="AF53" s="23">
        <v>9481</v>
      </c>
      <c r="AG53" s="23">
        <v>52779</v>
      </c>
      <c r="AH53" s="23">
        <v>130942</v>
      </c>
      <c r="AI53" s="23">
        <v>41388</v>
      </c>
      <c r="AJ53" s="23">
        <v>3556</v>
      </c>
      <c r="AK53" s="23">
        <v>33046</v>
      </c>
      <c r="AL53" s="23">
        <v>4785</v>
      </c>
      <c r="AM53" s="23">
        <v>89554</v>
      </c>
      <c r="AN53" s="23">
        <v>72171</v>
      </c>
      <c r="AO53" s="23">
        <v>6015</v>
      </c>
      <c r="AP53" s="23">
        <v>11368</v>
      </c>
      <c r="AQ53" s="23">
        <v>40627</v>
      </c>
      <c r="AR53" s="23">
        <v>35277</v>
      </c>
      <c r="AS53" s="23">
        <v>746</v>
      </c>
      <c r="AT53" s="23">
        <v>4604</v>
      </c>
      <c r="AU53" s="23">
        <v>48928</v>
      </c>
      <c r="AV53" s="23">
        <v>36895</v>
      </c>
      <c r="AW53" s="23">
        <v>5269</v>
      </c>
      <c r="AX53" s="23">
        <v>6764</v>
      </c>
    </row>
    <row r="54" spans="1:50" ht="12.75" customHeight="1">
      <c r="A54" s="58">
        <v>2007</v>
      </c>
      <c r="B54" s="23">
        <v>2298269</v>
      </c>
      <c r="C54" s="23">
        <v>286056</v>
      </c>
      <c r="D54" s="23">
        <v>1613869</v>
      </c>
      <c r="E54" s="23">
        <v>778906</v>
      </c>
      <c r="F54" s="23">
        <v>433554</v>
      </c>
      <c r="G54" s="23">
        <v>326157</v>
      </c>
      <c r="H54" s="23">
        <v>185751</v>
      </c>
      <c r="I54" s="23">
        <v>140406</v>
      </c>
      <c r="J54" s="23">
        <v>9117</v>
      </c>
      <c r="K54" s="23">
        <v>6317</v>
      </c>
      <c r="L54" s="23">
        <v>2801</v>
      </c>
      <c r="M54" s="23">
        <v>32286</v>
      </c>
      <c r="N54" s="23">
        <v>33848</v>
      </c>
      <c r="O54" s="23">
        <v>186022</v>
      </c>
      <c r="P54" s="23">
        <v>4465</v>
      </c>
      <c r="Q54" s="23">
        <v>85782</v>
      </c>
      <c r="R54" s="23">
        <v>2686</v>
      </c>
      <c r="S54" s="23">
        <v>40487</v>
      </c>
      <c r="T54" s="23">
        <v>6928</v>
      </c>
      <c r="U54" s="23">
        <v>2797</v>
      </c>
      <c r="V54" s="23">
        <v>600</v>
      </c>
      <c r="W54" s="23">
        <v>2197</v>
      </c>
      <c r="X54" s="23">
        <v>495</v>
      </c>
      <c r="Y54" s="23">
        <v>373</v>
      </c>
      <c r="Z54" s="23">
        <v>121</v>
      </c>
      <c r="AA54" s="23">
        <v>6723</v>
      </c>
      <c r="AB54" s="23">
        <v>3167</v>
      </c>
      <c r="AC54" s="23">
        <v>28610</v>
      </c>
      <c r="AD54" s="23">
        <v>3883</v>
      </c>
      <c r="AE54" s="23">
        <v>68672</v>
      </c>
      <c r="AF54" s="23">
        <v>9652</v>
      </c>
      <c r="AG54" s="23">
        <v>59020</v>
      </c>
      <c r="AH54" s="23">
        <v>143651</v>
      </c>
      <c r="AI54" s="23">
        <v>41933</v>
      </c>
      <c r="AJ54" s="23">
        <v>3782</v>
      </c>
      <c r="AK54" s="23">
        <v>33015</v>
      </c>
      <c r="AL54" s="23">
        <v>5137</v>
      </c>
      <c r="AM54" s="23">
        <v>101718</v>
      </c>
      <c r="AN54" s="23">
        <v>82183</v>
      </c>
      <c r="AO54" s="23">
        <v>6488</v>
      </c>
      <c r="AP54" s="23">
        <v>13047</v>
      </c>
      <c r="AQ54" s="23">
        <v>46515</v>
      </c>
      <c r="AR54" s="23">
        <v>39802</v>
      </c>
      <c r="AS54" s="23">
        <v>1014</v>
      </c>
      <c r="AT54" s="23">
        <v>5699</v>
      </c>
      <c r="AU54" s="23">
        <v>55203</v>
      </c>
      <c r="AV54" s="23">
        <v>42381</v>
      </c>
      <c r="AW54" s="23">
        <v>5474</v>
      </c>
      <c r="AX54" s="23">
        <v>7348</v>
      </c>
    </row>
    <row r="55" spans="1:50" ht="12.75" customHeight="1">
      <c r="A55" s="58">
        <v>2008</v>
      </c>
      <c r="B55" s="23">
        <v>2406644</v>
      </c>
      <c r="C55" s="23">
        <v>292999</v>
      </c>
      <c r="D55" s="23">
        <v>1705180</v>
      </c>
      <c r="E55" s="23">
        <v>809466</v>
      </c>
      <c r="F55" s="23">
        <v>468238</v>
      </c>
      <c r="G55" s="23">
        <v>344916</v>
      </c>
      <c r="H55" s="23">
        <v>203526</v>
      </c>
      <c r="I55" s="23">
        <v>141390</v>
      </c>
      <c r="J55" s="23">
        <v>10210</v>
      </c>
      <c r="K55" s="23">
        <v>7126</v>
      </c>
      <c r="L55" s="23">
        <v>3084</v>
      </c>
      <c r="M55" s="23">
        <v>33997</v>
      </c>
      <c r="N55" s="23">
        <v>38353</v>
      </c>
      <c r="O55" s="23">
        <v>182025</v>
      </c>
      <c r="P55" s="23">
        <v>4471</v>
      </c>
      <c r="Q55" s="23">
        <v>80715</v>
      </c>
      <c r="R55" s="23">
        <v>2822</v>
      </c>
      <c r="S55" s="23">
        <v>39618</v>
      </c>
      <c r="T55" s="23">
        <v>7146</v>
      </c>
      <c r="U55" s="23">
        <v>2838</v>
      </c>
      <c r="V55" s="23">
        <v>594</v>
      </c>
      <c r="W55" s="23">
        <v>2243</v>
      </c>
      <c r="X55" s="23">
        <v>498</v>
      </c>
      <c r="Y55" s="23">
        <v>374</v>
      </c>
      <c r="Z55" s="23">
        <v>124</v>
      </c>
      <c r="AA55" s="23">
        <v>6918</v>
      </c>
      <c r="AB55" s="23">
        <v>3206</v>
      </c>
      <c r="AC55" s="23">
        <v>29670</v>
      </c>
      <c r="AD55" s="23">
        <v>4124</v>
      </c>
      <c r="AE55" s="23">
        <v>72638</v>
      </c>
      <c r="AF55" s="23">
        <v>9823</v>
      </c>
      <c r="AG55" s="23">
        <v>62815</v>
      </c>
      <c r="AH55" s="23">
        <v>153802</v>
      </c>
      <c r="AI55" s="23">
        <v>43382</v>
      </c>
      <c r="AJ55" s="23">
        <v>4005</v>
      </c>
      <c r="AK55" s="23">
        <v>33796</v>
      </c>
      <c r="AL55" s="23">
        <v>5582</v>
      </c>
      <c r="AM55" s="23">
        <v>110420</v>
      </c>
      <c r="AN55" s="23">
        <v>88450</v>
      </c>
      <c r="AO55" s="23">
        <v>7758</v>
      </c>
      <c r="AP55" s="23">
        <v>14212</v>
      </c>
      <c r="AQ55" s="23">
        <v>51714</v>
      </c>
      <c r="AR55" s="23">
        <v>44584</v>
      </c>
      <c r="AS55" s="23">
        <v>944</v>
      </c>
      <c r="AT55" s="23">
        <v>6186</v>
      </c>
      <c r="AU55" s="23">
        <v>58706</v>
      </c>
      <c r="AV55" s="23">
        <v>43866</v>
      </c>
      <c r="AW55" s="23">
        <v>6814</v>
      </c>
      <c r="AX55" s="23">
        <v>8026</v>
      </c>
    </row>
    <row r="56" spans="1:50" ht="12.75" customHeight="1">
      <c r="A56" s="58">
        <v>2009</v>
      </c>
      <c r="B56" s="23">
        <v>2501171</v>
      </c>
      <c r="C56" s="23">
        <v>293329</v>
      </c>
      <c r="D56" s="23">
        <v>1801055</v>
      </c>
      <c r="E56" s="23">
        <v>834993</v>
      </c>
      <c r="F56" s="23">
        <v>500427</v>
      </c>
      <c r="G56" s="23">
        <v>375395</v>
      </c>
      <c r="H56" s="23">
        <v>248109</v>
      </c>
      <c r="I56" s="23">
        <v>127286</v>
      </c>
      <c r="J56" s="23">
        <v>11106</v>
      </c>
      <c r="K56" s="23">
        <v>7812</v>
      </c>
      <c r="L56" s="23">
        <v>3293</v>
      </c>
      <c r="M56" s="23">
        <v>36739</v>
      </c>
      <c r="N56" s="23">
        <v>42396</v>
      </c>
      <c r="O56" s="23">
        <v>185122</v>
      </c>
      <c r="P56" s="23">
        <v>4492</v>
      </c>
      <c r="Q56" s="23">
        <v>85545</v>
      </c>
      <c r="R56" s="23">
        <v>3175</v>
      </c>
      <c r="S56" s="23">
        <v>36287</v>
      </c>
      <c r="T56" s="23">
        <v>7155</v>
      </c>
      <c r="U56" s="23">
        <v>2682</v>
      </c>
      <c r="V56" s="23">
        <v>591</v>
      </c>
      <c r="W56" s="23">
        <v>2090</v>
      </c>
      <c r="X56" s="23">
        <v>513</v>
      </c>
      <c r="Y56" s="23">
        <v>398</v>
      </c>
      <c r="Z56" s="23">
        <v>115</v>
      </c>
      <c r="AA56" s="23">
        <v>7305</v>
      </c>
      <c r="AB56" s="23">
        <v>3309</v>
      </c>
      <c r="AC56" s="23">
        <v>30429</v>
      </c>
      <c r="AD56" s="23">
        <v>4230</v>
      </c>
      <c r="AE56" s="23">
        <v>75606</v>
      </c>
      <c r="AF56" s="23">
        <v>11922</v>
      </c>
      <c r="AG56" s="23">
        <v>63684</v>
      </c>
      <c r="AH56" s="23">
        <v>146059</v>
      </c>
      <c r="AI56" s="23">
        <v>45263</v>
      </c>
      <c r="AJ56" s="23">
        <v>4117</v>
      </c>
      <c r="AK56" s="23">
        <v>35163</v>
      </c>
      <c r="AL56" s="23">
        <v>5983</v>
      </c>
      <c r="AM56" s="23">
        <v>100796</v>
      </c>
      <c r="AN56" s="23">
        <v>78034</v>
      </c>
      <c r="AO56" s="23">
        <v>9051</v>
      </c>
      <c r="AP56" s="23">
        <v>13712</v>
      </c>
      <c r="AQ56" s="23">
        <v>46818</v>
      </c>
      <c r="AR56" s="23">
        <v>39014</v>
      </c>
      <c r="AS56" s="23">
        <v>1763</v>
      </c>
      <c r="AT56" s="23">
        <v>6041</v>
      </c>
      <c r="AU56" s="23">
        <v>53978</v>
      </c>
      <c r="AV56" s="23">
        <v>39019</v>
      </c>
      <c r="AW56" s="23">
        <v>7288</v>
      </c>
      <c r="AX56" s="23">
        <v>7671</v>
      </c>
    </row>
    <row r="57" spans="1:50" ht="12.75" customHeight="1">
      <c r="A57" s="58">
        <v>2010</v>
      </c>
      <c r="B57" s="23">
        <v>2599951</v>
      </c>
      <c r="C57" s="23">
        <v>299410</v>
      </c>
      <c r="D57" s="23">
        <v>1879422</v>
      </c>
      <c r="E57" s="23">
        <v>863702</v>
      </c>
      <c r="F57" s="23">
        <v>521990</v>
      </c>
      <c r="G57" s="23">
        <v>397688</v>
      </c>
      <c r="H57" s="23">
        <v>267156</v>
      </c>
      <c r="I57" s="23">
        <v>130532</v>
      </c>
      <c r="J57" s="23">
        <v>11669</v>
      </c>
      <c r="K57" s="23">
        <v>8148</v>
      </c>
      <c r="L57" s="23">
        <v>3521</v>
      </c>
      <c r="M57" s="23">
        <v>38311</v>
      </c>
      <c r="N57" s="23">
        <v>46063</v>
      </c>
      <c r="O57" s="23">
        <v>192659</v>
      </c>
      <c r="P57" s="23">
        <v>4617</v>
      </c>
      <c r="Q57" s="23">
        <v>92252</v>
      </c>
      <c r="R57" s="23">
        <v>3563</v>
      </c>
      <c r="S57" s="23">
        <v>34879</v>
      </c>
      <c r="T57" s="23">
        <v>7071</v>
      </c>
      <c r="U57" s="23">
        <v>2633</v>
      </c>
      <c r="V57" s="23">
        <v>591</v>
      </c>
      <c r="W57" s="23">
        <v>2042</v>
      </c>
      <c r="X57" s="23">
        <v>546</v>
      </c>
      <c r="Y57" s="23">
        <v>429</v>
      </c>
      <c r="Z57" s="23">
        <v>118</v>
      </c>
      <c r="AA57" s="23">
        <v>7705</v>
      </c>
      <c r="AB57" s="23">
        <v>3385</v>
      </c>
      <c r="AC57" s="23">
        <v>31628</v>
      </c>
      <c r="AD57" s="23">
        <v>4379</v>
      </c>
      <c r="AE57" s="23">
        <v>79337</v>
      </c>
      <c r="AF57" s="23">
        <v>13894</v>
      </c>
      <c r="AG57" s="23">
        <v>65443</v>
      </c>
      <c r="AH57" s="23">
        <v>149123</v>
      </c>
      <c r="AI57" s="23">
        <v>48997</v>
      </c>
      <c r="AJ57" s="23">
        <v>4166</v>
      </c>
      <c r="AK57" s="23">
        <v>38667</v>
      </c>
      <c r="AL57" s="23">
        <v>6164</v>
      </c>
      <c r="AM57" s="23">
        <v>100126</v>
      </c>
      <c r="AN57" s="23">
        <v>77467</v>
      </c>
      <c r="AO57" s="23">
        <v>9548</v>
      </c>
      <c r="AP57" s="23">
        <v>13111</v>
      </c>
      <c r="AQ57" s="23">
        <v>45852</v>
      </c>
      <c r="AR57" s="23">
        <v>38129</v>
      </c>
      <c r="AS57" s="23">
        <v>2127</v>
      </c>
      <c r="AT57" s="23">
        <v>5596</v>
      </c>
      <c r="AU57" s="23">
        <v>54275</v>
      </c>
      <c r="AV57" s="23">
        <v>39338</v>
      </c>
      <c r="AW57" s="23">
        <v>7421</v>
      </c>
      <c r="AX57" s="23">
        <v>7515</v>
      </c>
    </row>
    <row r="58" spans="1:50" ht="12.75" customHeight="1">
      <c r="A58" s="58">
        <v>2011</v>
      </c>
      <c r="B58" s="23">
        <v>2700739</v>
      </c>
      <c r="C58" s="23">
        <v>307680</v>
      </c>
      <c r="D58" s="23">
        <v>1960095</v>
      </c>
      <c r="E58" s="23">
        <v>896348</v>
      </c>
      <c r="F58" s="23">
        <v>554299</v>
      </c>
      <c r="G58" s="23">
        <v>407650</v>
      </c>
      <c r="H58" s="23">
        <v>248176</v>
      </c>
      <c r="I58" s="23">
        <v>159474</v>
      </c>
      <c r="J58" s="23">
        <v>12015</v>
      </c>
      <c r="K58" s="23">
        <v>8393</v>
      </c>
      <c r="L58" s="23">
        <v>3622</v>
      </c>
      <c r="M58" s="23">
        <v>39700</v>
      </c>
      <c r="N58" s="23">
        <v>50082</v>
      </c>
      <c r="O58" s="23">
        <v>200479</v>
      </c>
      <c r="P58" s="23">
        <v>4775</v>
      </c>
      <c r="Q58" s="23">
        <v>96587</v>
      </c>
      <c r="R58" s="23">
        <v>3579</v>
      </c>
      <c r="S58" s="23">
        <v>35033</v>
      </c>
      <c r="T58" s="23">
        <v>6669</v>
      </c>
      <c r="U58" s="23">
        <v>2586</v>
      </c>
      <c r="V58" s="23">
        <v>584</v>
      </c>
      <c r="W58" s="23">
        <v>2002</v>
      </c>
      <c r="X58" s="23">
        <v>529</v>
      </c>
      <c r="Y58" s="23">
        <v>416</v>
      </c>
      <c r="Z58" s="23">
        <v>113</v>
      </c>
      <c r="AA58" s="23">
        <v>9673</v>
      </c>
      <c r="AB58" s="23">
        <v>3445</v>
      </c>
      <c r="AC58" s="23">
        <v>33091</v>
      </c>
      <c r="AD58" s="23">
        <v>4512</v>
      </c>
      <c r="AE58" s="23">
        <v>78965</v>
      </c>
      <c r="AF58" s="23">
        <v>10334</v>
      </c>
      <c r="AG58" s="23">
        <v>68631</v>
      </c>
      <c r="AH58" s="23">
        <v>153520</v>
      </c>
      <c r="AI58" s="23">
        <v>49831</v>
      </c>
      <c r="AJ58" s="23">
        <v>4336</v>
      </c>
      <c r="AK58" s="23">
        <v>39018</v>
      </c>
      <c r="AL58" s="23">
        <v>6476</v>
      </c>
      <c r="AM58" s="23">
        <v>103689</v>
      </c>
      <c r="AN58" s="23">
        <v>78540</v>
      </c>
      <c r="AO58" s="23">
        <v>11538</v>
      </c>
      <c r="AP58" s="23">
        <v>13611</v>
      </c>
      <c r="AQ58" s="23">
        <v>45316</v>
      </c>
      <c r="AR58" s="23">
        <v>36914</v>
      </c>
      <c r="AS58" s="23">
        <v>2596</v>
      </c>
      <c r="AT58" s="23">
        <v>5806</v>
      </c>
      <c r="AU58" s="23">
        <v>58373</v>
      </c>
      <c r="AV58" s="23">
        <v>41626</v>
      </c>
      <c r="AW58" s="23">
        <v>8942</v>
      </c>
      <c r="AX58" s="23">
        <v>7805</v>
      </c>
    </row>
    <row r="59" spans="1:50" ht="18" customHeight="1">
      <c r="A59" s="158" t="s">
        <v>23</v>
      </c>
      <c r="B59" s="159"/>
      <c r="C59" s="159"/>
      <c r="D59" s="159"/>
      <c r="E59" s="159"/>
      <c r="F59" s="159"/>
      <c r="G59" s="159"/>
      <c r="H59" s="159"/>
      <c r="I59" s="159"/>
      <c r="J59" s="159"/>
      <c r="K59" s="159"/>
      <c r="L59" s="159"/>
      <c r="M59" s="159"/>
      <c r="N59" s="159"/>
      <c r="O59" s="159"/>
      <c r="P59" s="159"/>
      <c r="Q59" s="159"/>
      <c r="R59" s="159"/>
      <c r="S59" s="160" t="s">
        <v>24</v>
      </c>
      <c r="T59" s="159"/>
      <c r="U59" s="159"/>
      <c r="V59" s="159"/>
      <c r="W59" s="159"/>
      <c r="X59" s="159"/>
      <c r="Y59" s="159"/>
      <c r="Z59" s="159"/>
      <c r="AA59" s="160" t="s">
        <v>25</v>
      </c>
      <c r="AB59" s="159"/>
      <c r="AC59" s="160" t="s">
        <v>26</v>
      </c>
      <c r="AD59" s="159"/>
      <c r="AE59" s="159"/>
      <c r="AF59" s="159"/>
      <c r="AG59" s="159"/>
      <c r="AH59" s="159"/>
      <c r="AI59" s="159"/>
      <c r="AJ59" s="161"/>
      <c r="AK59" s="161"/>
      <c r="AL59" s="161"/>
      <c r="AM59" s="161"/>
      <c r="AN59" s="161"/>
      <c r="AO59" s="161"/>
      <c r="AP59" s="162"/>
      <c r="AQ59" s="162"/>
      <c r="AR59" s="162"/>
      <c r="AS59" s="162"/>
      <c r="AT59" s="162"/>
      <c r="AU59" s="162"/>
      <c r="AV59" s="162"/>
      <c r="AW59" s="162"/>
      <c r="AX59" s="162"/>
    </row>
    <row r="60" spans="1:50" ht="15.75" customHeight="1">
      <c r="A60" s="137" t="s">
        <v>36</v>
      </c>
      <c r="B60" s="163">
        <v>41505</v>
      </c>
      <c r="C60" s="163"/>
      <c r="D60" s="163"/>
      <c r="E60" s="163"/>
      <c r="F60" s="163"/>
      <c r="G60" s="137"/>
      <c r="H60" s="137"/>
      <c r="I60" s="137"/>
      <c r="J60" s="137"/>
      <c r="K60" s="137"/>
      <c r="L60" s="137"/>
      <c r="M60" s="137"/>
      <c r="N60" s="137"/>
    </row>
    <row r="61" spans="1:50" s="38" customFormat="1" ht="18" customHeight="1">
      <c r="A61" s="34" t="s">
        <v>306</v>
      </c>
      <c r="B61" s="34"/>
      <c r="C61" s="34"/>
      <c r="D61" s="34"/>
      <c r="E61" s="34"/>
      <c r="F61" s="34"/>
      <c r="G61" s="34"/>
      <c r="H61" s="34"/>
      <c r="I61" s="34"/>
      <c r="J61" s="34"/>
      <c r="K61" s="34"/>
      <c r="L61" s="34"/>
      <c r="M61" s="34"/>
      <c r="N61" s="34"/>
      <c r="AQ61" s="113"/>
    </row>
    <row r="62" spans="1:50" s="38" customFormat="1" ht="19.5" customHeight="1">
      <c r="A62" s="43" t="s">
        <v>307</v>
      </c>
      <c r="B62" s="43"/>
      <c r="C62" s="43"/>
      <c r="D62" s="43"/>
      <c r="E62" s="43"/>
      <c r="F62" s="43"/>
      <c r="G62" s="43"/>
      <c r="H62" s="43"/>
      <c r="I62" s="43"/>
      <c r="J62" s="43"/>
      <c r="K62" s="43"/>
      <c r="L62" s="164"/>
      <c r="M62" s="164"/>
      <c r="N62" s="37"/>
      <c r="AQ62" s="113"/>
    </row>
    <row r="63" spans="1:50" s="38" customFormat="1" ht="24.75" customHeight="1">
      <c r="A63" s="165" t="str">
        <f>S59</f>
        <v>[A]</v>
      </c>
      <c r="B63" s="40" t="s">
        <v>308</v>
      </c>
      <c r="C63" s="40"/>
      <c r="D63" s="40"/>
      <c r="E63" s="40"/>
      <c r="F63" s="40"/>
      <c r="G63" s="40"/>
      <c r="H63" s="40"/>
      <c r="I63" s="40"/>
      <c r="J63" s="40"/>
      <c r="K63" s="40"/>
      <c r="L63" s="40"/>
      <c r="M63" s="40"/>
      <c r="N63" s="40"/>
      <c r="AQ63" s="113"/>
    </row>
    <row r="64" spans="1:50" s="38" customFormat="1" ht="24.75" customHeight="1">
      <c r="A64" s="165" t="str">
        <f>AA59</f>
        <v>[B]</v>
      </c>
      <c r="B64" s="40" t="s">
        <v>309</v>
      </c>
      <c r="C64" s="40"/>
      <c r="D64" s="40"/>
      <c r="E64" s="40"/>
      <c r="F64" s="40"/>
      <c r="G64" s="40"/>
      <c r="H64" s="40"/>
      <c r="I64" s="40"/>
      <c r="J64" s="40"/>
      <c r="K64" s="40"/>
      <c r="L64" s="40"/>
      <c r="M64" s="40"/>
      <c r="N64" s="40"/>
      <c r="AQ64" s="113"/>
    </row>
    <row r="65" spans="1:43" s="38" customFormat="1" ht="18" customHeight="1">
      <c r="A65" s="165" t="str">
        <f>AC59</f>
        <v>[C]</v>
      </c>
      <c r="B65" s="40" t="s">
        <v>310</v>
      </c>
      <c r="C65" s="40"/>
      <c r="D65" s="40"/>
      <c r="E65" s="40"/>
      <c r="F65" s="40"/>
      <c r="G65" s="40"/>
      <c r="H65" s="40"/>
      <c r="I65" s="40"/>
      <c r="J65" s="40"/>
      <c r="K65" s="40"/>
      <c r="L65" s="166"/>
      <c r="M65" s="166"/>
      <c r="AQ65" s="113"/>
    </row>
    <row r="66" spans="1:43" s="38" customFormat="1" ht="19.5" customHeight="1">
      <c r="A66" s="43" t="s">
        <v>311</v>
      </c>
      <c r="B66" s="43"/>
      <c r="C66" s="43"/>
      <c r="D66" s="43"/>
      <c r="E66" s="43"/>
      <c r="F66" s="43"/>
      <c r="G66" s="43"/>
      <c r="H66" s="43"/>
      <c r="I66" s="43"/>
      <c r="J66" s="43"/>
      <c r="K66" s="43"/>
      <c r="L66" s="43"/>
      <c r="M66" s="43"/>
      <c r="N66" s="148"/>
      <c r="AQ66" s="113"/>
    </row>
    <row r="67" spans="1:43" s="89" customFormat="1" ht="36" customHeight="1">
      <c r="A67" s="39" t="s">
        <v>111</v>
      </c>
      <c r="B67" s="88" t="s">
        <v>312</v>
      </c>
      <c r="C67" s="88"/>
      <c r="D67" s="88"/>
      <c r="E67" s="88"/>
      <c r="F67" s="88"/>
      <c r="G67" s="88"/>
      <c r="H67" s="88"/>
      <c r="I67" s="88"/>
      <c r="J67" s="88"/>
      <c r="K67" s="88"/>
      <c r="L67" s="88"/>
      <c r="M67" s="88"/>
      <c r="N67" s="88"/>
      <c r="AQ67" s="124"/>
    </row>
    <row r="68" spans="1:43" s="89" customFormat="1" ht="36" customHeight="1">
      <c r="A68" s="39" t="s">
        <v>113</v>
      </c>
      <c r="B68" s="88" t="s">
        <v>130</v>
      </c>
      <c r="C68" s="88"/>
      <c r="D68" s="88"/>
      <c r="E68" s="88"/>
      <c r="F68" s="88"/>
      <c r="G68" s="88"/>
      <c r="H68" s="88"/>
      <c r="I68" s="88"/>
      <c r="J68" s="88"/>
      <c r="K68" s="88"/>
      <c r="L68" s="88"/>
      <c r="M68" s="88"/>
      <c r="N68" s="88"/>
      <c r="AQ68" s="124"/>
    </row>
    <row r="69" spans="1:43" s="167" customFormat="1" ht="18" customHeight="1">
      <c r="A69" s="91" t="s">
        <v>313</v>
      </c>
      <c r="B69" s="91"/>
      <c r="C69" s="91"/>
      <c r="D69" s="91"/>
      <c r="E69" s="91"/>
      <c r="F69" s="91"/>
      <c r="G69" s="91"/>
      <c r="H69" s="91"/>
      <c r="I69" s="91"/>
      <c r="J69" s="91"/>
      <c r="K69" s="91"/>
      <c r="L69" s="91"/>
      <c r="M69" s="91"/>
      <c r="N69" s="91"/>
      <c r="AQ69" s="168"/>
    </row>
    <row r="70" spans="1:43" s="89" customFormat="1" ht="36" customHeight="1">
      <c r="AQ70" s="124"/>
    </row>
    <row r="71" spans="1:43" s="167" customFormat="1">
      <c r="A71"/>
      <c r="AQ71" s="168"/>
    </row>
    <row r="72" spans="1:43" s="167" customFormat="1">
      <c r="A72" s="168"/>
      <c r="AQ72" s="168"/>
    </row>
    <row r="73" spans="1:43" s="167" customFormat="1">
      <c r="A73" s="168"/>
      <c r="AQ73" s="168"/>
    </row>
    <row r="74" spans="1:43" s="167" customFormat="1">
      <c r="A74" s="168"/>
      <c r="AQ74" s="168"/>
    </row>
    <row r="75" spans="1:43" s="167" customFormat="1">
      <c r="A75" s="168"/>
      <c r="AQ75" s="168"/>
    </row>
    <row r="76" spans="1:43" s="167" customFormat="1">
      <c r="A76" s="168"/>
      <c r="AQ76" s="168"/>
    </row>
    <row r="77" spans="1:43" s="167" customFormat="1">
      <c r="A77" s="168"/>
      <c r="AQ77" s="168"/>
    </row>
    <row r="78" spans="1:43" s="167" customFormat="1">
      <c r="A78" s="168"/>
      <c r="AQ78" s="168"/>
    </row>
    <row r="79" spans="1:43" s="167" customFormat="1">
      <c r="A79" s="168"/>
      <c r="AQ79" s="168"/>
    </row>
    <row r="80" spans="1:43" s="167" customFormat="1">
      <c r="A80" s="168"/>
      <c r="AQ80" s="168"/>
    </row>
    <row r="81" spans="1:43" s="167" customFormat="1">
      <c r="A81" s="168"/>
      <c r="AQ81" s="168"/>
    </row>
    <row r="82" spans="1:43" s="167" customFormat="1">
      <c r="A82" s="168"/>
      <c r="AQ82" s="168"/>
    </row>
    <row r="83" spans="1:43" s="167" customFormat="1">
      <c r="A83" s="168"/>
      <c r="AQ83" s="168"/>
    </row>
    <row r="84" spans="1:43" s="167" customFormat="1">
      <c r="A84" s="168"/>
      <c r="AQ84" s="168"/>
    </row>
    <row r="85" spans="1:43" s="167" customFormat="1">
      <c r="A85" s="168"/>
      <c r="AQ85" s="168"/>
    </row>
    <row r="86" spans="1:43" s="167" customFormat="1">
      <c r="A86" s="168"/>
      <c r="AQ86" s="168"/>
    </row>
  </sheetData>
  <mergeCells count="47">
    <mergeCell ref="B67:N67"/>
    <mergeCell ref="B68:N68"/>
    <mergeCell ref="A69:N69"/>
    <mergeCell ref="A61:N61"/>
    <mergeCell ref="A62:K62"/>
    <mergeCell ref="B63:N63"/>
    <mergeCell ref="B64:N64"/>
    <mergeCell ref="B65:K65"/>
    <mergeCell ref="A66:M66"/>
    <mergeCell ref="AF5:AF6"/>
    <mergeCell ref="AG5:AG6"/>
    <mergeCell ref="AM5:AP5"/>
    <mergeCell ref="AQ5:AT5"/>
    <mergeCell ref="AU5:AX5"/>
    <mergeCell ref="B60:F60"/>
    <mergeCell ref="X5:Z5"/>
    <mergeCell ref="AA5:AA6"/>
    <mergeCell ref="AB5:AB6"/>
    <mergeCell ref="AC5:AC6"/>
    <mergeCell ref="AD5:AD6"/>
    <mergeCell ref="AE5:AE6"/>
    <mergeCell ref="J5:L5"/>
    <mergeCell ref="M5:M6"/>
    <mergeCell ref="N5:N6"/>
    <mergeCell ref="O5:O6"/>
    <mergeCell ref="P5:P6"/>
    <mergeCell ref="Q5:Q6"/>
    <mergeCell ref="O3:AD4"/>
    <mergeCell ref="AE3:AG4"/>
    <mergeCell ref="AH3:AX3"/>
    <mergeCell ref="AH4:AH6"/>
    <mergeCell ref="AI4:AL5"/>
    <mergeCell ref="AM4:AX4"/>
    <mergeCell ref="R5:R6"/>
    <mergeCell ref="S5:S6"/>
    <mergeCell ref="T5:T6"/>
    <mergeCell ref="U5:W5"/>
    <mergeCell ref="A1:N1"/>
    <mergeCell ref="A2:N2"/>
    <mergeCell ref="A3:A6"/>
    <mergeCell ref="B3:B6"/>
    <mergeCell ref="C3:C6"/>
    <mergeCell ref="D3:N4"/>
    <mergeCell ref="D5:D6"/>
    <mergeCell ref="E5:E6"/>
    <mergeCell ref="F5:F6"/>
    <mergeCell ref="G5:I5"/>
  </mergeCells>
  <printOptions horizontalCentered="1"/>
  <pageMargins left="0.7" right="0.7" top="0.75" bottom="0.75" header="0.3" footer="0.3"/>
  <pageSetup scale="75" fitToWidth="3" fitToHeight="2" orientation="landscape" horizontalDpi="300" r:id="rId1"/>
  <colBreaks count="2" manualBreakCount="2">
    <brk id="14" max="68" man="1"/>
    <brk id="30" max="68"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8"/>
  <sheetViews>
    <sheetView view="pageBreakPreview" zoomScaleNormal="100" zoomScaleSheetLayoutView="100" workbookViewId="0">
      <pane xSplit="3" ySplit="6" topLeftCell="D71" activePane="bottomRight" state="frozen"/>
      <selection activeCell="L9" sqref="L9"/>
      <selection pane="topRight" activeCell="L9" sqref="L9"/>
      <selection pane="bottomLeft" activeCell="L9" sqref="L9"/>
      <selection pane="bottomRight" activeCell="L9" sqref="L9"/>
    </sheetView>
  </sheetViews>
  <sheetFormatPr defaultRowHeight="15"/>
  <cols>
    <col min="1" max="1" width="6.7109375" style="93" customWidth="1"/>
    <col min="2" max="2" width="9.7109375" customWidth="1"/>
    <col min="3" max="3" width="8.7109375" customWidth="1"/>
    <col min="4" max="5" width="9.7109375" customWidth="1"/>
    <col min="6" max="9" width="7.7109375" customWidth="1"/>
    <col min="26" max="26" width="9.140625" style="93"/>
  </cols>
  <sheetData>
    <row r="1" spans="1:25" ht="18" customHeight="1">
      <c r="A1" s="92" t="s">
        <v>314</v>
      </c>
      <c r="B1" s="92"/>
      <c r="C1" s="92"/>
      <c r="D1" s="92"/>
      <c r="E1" s="92"/>
      <c r="F1" s="92"/>
      <c r="G1" s="92"/>
      <c r="H1" s="92"/>
      <c r="I1" s="92"/>
      <c r="J1" s="92"/>
      <c r="K1" s="92"/>
      <c r="L1" s="92"/>
      <c r="M1" s="92"/>
      <c r="N1" s="92"/>
      <c r="O1" s="92"/>
    </row>
    <row r="2" spans="1:25" ht="15" customHeight="1" thickBot="1">
      <c r="A2" s="169" t="s">
        <v>267</v>
      </c>
      <c r="B2" s="169"/>
      <c r="C2" s="169"/>
      <c r="D2" s="169"/>
      <c r="E2" s="169"/>
      <c r="F2" s="169"/>
      <c r="G2" s="169"/>
      <c r="H2" s="169"/>
      <c r="I2" s="169"/>
      <c r="J2" s="169"/>
      <c r="K2" s="169"/>
      <c r="L2" s="169"/>
      <c r="M2" s="169"/>
      <c r="N2" s="169"/>
      <c r="O2" s="169"/>
    </row>
    <row r="3" spans="1:25" ht="15.75" customHeight="1" thickTop="1">
      <c r="A3" s="4" t="s">
        <v>268</v>
      </c>
      <c r="B3" s="154" t="s">
        <v>269</v>
      </c>
      <c r="C3" s="154" t="s">
        <v>315</v>
      </c>
      <c r="D3" s="3" t="s">
        <v>271</v>
      </c>
      <c r="E3" s="2"/>
      <c r="F3" s="2"/>
      <c r="G3" s="2"/>
      <c r="H3" s="2"/>
      <c r="I3" s="2"/>
      <c r="J3" s="3" t="s">
        <v>272</v>
      </c>
      <c r="K3" s="2"/>
      <c r="L3" s="2"/>
      <c r="M3" s="2"/>
      <c r="N3" s="2"/>
      <c r="O3" s="2"/>
      <c r="P3" s="2"/>
      <c r="Q3" s="2"/>
      <c r="R3" s="4"/>
      <c r="S3" s="4" t="s">
        <v>316</v>
      </c>
      <c r="T3" s="3" t="s">
        <v>274</v>
      </c>
      <c r="U3" s="2"/>
      <c r="V3" s="4"/>
      <c r="W3" s="4" t="s">
        <v>317</v>
      </c>
      <c r="X3" s="3" t="s">
        <v>318</v>
      </c>
      <c r="Y3" s="2"/>
    </row>
    <row r="4" spans="1:25" ht="12.75" customHeight="1">
      <c r="A4" s="13"/>
      <c r="B4" s="155"/>
      <c r="C4" s="155"/>
      <c r="D4" s="9"/>
      <c r="E4" s="95"/>
      <c r="F4" s="95"/>
      <c r="G4" s="95"/>
      <c r="H4" s="95"/>
      <c r="I4" s="95"/>
      <c r="J4" s="9"/>
      <c r="K4" s="95"/>
      <c r="L4" s="95"/>
      <c r="M4" s="95"/>
      <c r="N4" s="95"/>
      <c r="O4" s="95"/>
      <c r="P4" s="95"/>
      <c r="Q4" s="95"/>
      <c r="R4" s="10"/>
      <c r="S4" s="13"/>
      <c r="T4" s="9"/>
      <c r="U4" s="95"/>
      <c r="V4" s="10"/>
      <c r="W4" s="13"/>
      <c r="X4" s="9"/>
      <c r="Y4" s="95"/>
    </row>
    <row r="5" spans="1:25" ht="15.75" customHeight="1">
      <c r="A5" s="13"/>
      <c r="B5" s="155"/>
      <c r="C5" s="155"/>
      <c r="D5" s="79" t="s">
        <v>148</v>
      </c>
      <c r="E5" s="14" t="s">
        <v>278</v>
      </c>
      <c r="F5" s="14" t="s">
        <v>279</v>
      </c>
      <c r="G5" s="14" t="s">
        <v>280</v>
      </c>
      <c r="H5" s="14" t="s">
        <v>281</v>
      </c>
      <c r="I5" s="14" t="s">
        <v>282</v>
      </c>
      <c r="J5" s="14" t="s">
        <v>148</v>
      </c>
      <c r="K5" s="15" t="s">
        <v>285</v>
      </c>
      <c r="L5" s="28" t="s">
        <v>319</v>
      </c>
      <c r="M5" s="30"/>
      <c r="N5" s="29"/>
      <c r="O5" s="79" t="s">
        <v>320</v>
      </c>
      <c r="P5" s="14" t="s">
        <v>321</v>
      </c>
      <c r="Q5" s="15" t="s">
        <v>292</v>
      </c>
      <c r="R5" s="14" t="s">
        <v>293</v>
      </c>
      <c r="S5" s="13"/>
      <c r="T5" s="14" t="s">
        <v>148</v>
      </c>
      <c r="U5" s="14" t="s">
        <v>322</v>
      </c>
      <c r="V5" s="14" t="s">
        <v>323</v>
      </c>
      <c r="W5" s="13"/>
      <c r="X5" s="14" t="s">
        <v>324</v>
      </c>
      <c r="Y5" s="15" t="s">
        <v>325</v>
      </c>
    </row>
    <row r="6" spans="1:25" ht="36" customHeight="1">
      <c r="A6" s="10"/>
      <c r="B6" s="117"/>
      <c r="C6" s="117"/>
      <c r="D6" s="10"/>
      <c r="E6" s="18"/>
      <c r="F6" s="18"/>
      <c r="G6" s="18"/>
      <c r="H6" s="18"/>
      <c r="I6" s="18"/>
      <c r="J6" s="18"/>
      <c r="K6" s="9"/>
      <c r="L6" s="156" t="s">
        <v>148</v>
      </c>
      <c r="M6" s="81" t="s">
        <v>326</v>
      </c>
      <c r="N6" s="156" t="s">
        <v>327</v>
      </c>
      <c r="O6" s="10"/>
      <c r="P6" s="18"/>
      <c r="Q6" s="9"/>
      <c r="R6" s="18"/>
      <c r="S6" s="10"/>
      <c r="T6" s="18"/>
      <c r="U6" s="18"/>
      <c r="V6" s="18"/>
      <c r="W6" s="10"/>
      <c r="X6" s="18"/>
      <c r="Y6" s="9"/>
    </row>
    <row r="7" spans="1:25" ht="12.75" customHeight="1">
      <c r="A7" s="58">
        <v>1960</v>
      </c>
      <c r="B7" s="23">
        <v>27359</v>
      </c>
      <c r="C7" s="23">
        <f>D7+J7+S7+T7</f>
        <v>2814.9049999999997</v>
      </c>
      <c r="D7" s="23">
        <f>SUM(E7:I7)</f>
        <v>1685</v>
      </c>
      <c r="E7" s="23">
        <v>0</v>
      </c>
      <c r="F7" s="23">
        <v>0</v>
      </c>
      <c r="G7" s="23">
        <v>0</v>
      </c>
      <c r="H7" s="23">
        <v>788</v>
      </c>
      <c r="I7" s="23">
        <v>897</v>
      </c>
      <c r="J7" s="23">
        <f>SUM(K7,N7,O7:R7)</f>
        <v>404.90499999999997</v>
      </c>
      <c r="K7" s="23">
        <v>0</v>
      </c>
      <c r="L7" s="23">
        <v>615</v>
      </c>
      <c r="M7" s="85">
        <v>4.7E-2</v>
      </c>
      <c r="N7" s="20">
        <f>L7*M7</f>
        <v>28.905000000000001</v>
      </c>
      <c r="O7" s="23">
        <v>27</v>
      </c>
      <c r="P7" s="23">
        <v>12</v>
      </c>
      <c r="Q7" s="23">
        <v>337</v>
      </c>
      <c r="R7" s="23">
        <v>0</v>
      </c>
      <c r="S7" s="23">
        <v>102</v>
      </c>
      <c r="T7" s="23">
        <f>U7+V7</f>
        <v>623</v>
      </c>
      <c r="U7" s="23">
        <v>504</v>
      </c>
      <c r="V7" s="23">
        <v>119</v>
      </c>
      <c r="W7" s="170">
        <v>2864</v>
      </c>
      <c r="X7" s="23">
        <f>W7-C7</f>
        <v>49.095000000000255</v>
      </c>
      <c r="Y7" s="85">
        <f>X7/C7</f>
        <v>1.7441085933628402E-2</v>
      </c>
    </row>
    <row r="8" spans="1:25" ht="12.75" customHeight="1">
      <c r="A8" s="58">
        <v>1961</v>
      </c>
      <c r="B8" s="23">
        <v>29229</v>
      </c>
      <c r="C8" s="23">
        <f t="shared" ref="C8:C58" si="0">D8+J8+S8+T8</f>
        <v>3212.6239999999998</v>
      </c>
      <c r="D8" s="23">
        <f t="shared" ref="D8:D58" si="1">SUM(E8:I8)</f>
        <v>1769</v>
      </c>
      <c r="E8" s="23">
        <v>0</v>
      </c>
      <c r="F8" s="23">
        <v>0</v>
      </c>
      <c r="G8" s="23">
        <v>0</v>
      </c>
      <c r="H8" s="23">
        <v>836</v>
      </c>
      <c r="I8" s="23">
        <v>933</v>
      </c>
      <c r="J8" s="23">
        <f t="shared" ref="J8:J58" si="2">SUM(K8,N8,O8:R8)</f>
        <v>534.62400000000002</v>
      </c>
      <c r="K8" s="23">
        <v>0</v>
      </c>
      <c r="L8" s="23">
        <v>644</v>
      </c>
      <c r="M8" s="85">
        <v>4.5999999999999999E-2</v>
      </c>
      <c r="N8" s="20">
        <f t="shared" ref="N8:N58" si="3">L8*M8</f>
        <v>29.623999999999999</v>
      </c>
      <c r="O8" s="23">
        <v>44</v>
      </c>
      <c r="P8" s="23">
        <v>14</v>
      </c>
      <c r="Q8" s="23">
        <v>447</v>
      </c>
      <c r="R8" s="23">
        <v>0</v>
      </c>
      <c r="S8" s="23">
        <v>108</v>
      </c>
      <c r="T8" s="23">
        <f t="shared" ref="T8:T58" si="4">U8+V8</f>
        <v>801</v>
      </c>
      <c r="U8" s="23">
        <v>680</v>
      </c>
      <c r="V8" s="23">
        <v>121</v>
      </c>
      <c r="W8" s="170">
        <v>3273</v>
      </c>
      <c r="X8" s="23">
        <f>W8-C8</f>
        <v>60.376000000000204</v>
      </c>
      <c r="Y8" s="85">
        <f>X8/C8</f>
        <v>1.8793360194034599E-2</v>
      </c>
    </row>
    <row r="9" spans="1:25" ht="12.75" customHeight="1">
      <c r="A9" s="58">
        <v>1962</v>
      </c>
      <c r="B9" s="23">
        <v>31907</v>
      </c>
      <c r="C9" s="23">
        <f t="shared" si="0"/>
        <v>3628.02</v>
      </c>
      <c r="D9" s="23">
        <f t="shared" si="1"/>
        <v>1821</v>
      </c>
      <c r="E9" s="23">
        <v>0</v>
      </c>
      <c r="F9" s="23">
        <v>0</v>
      </c>
      <c r="G9" s="23">
        <v>0</v>
      </c>
      <c r="H9" s="23">
        <v>860</v>
      </c>
      <c r="I9" s="23">
        <v>961</v>
      </c>
      <c r="J9" s="23">
        <f t="shared" si="2"/>
        <v>692.02</v>
      </c>
      <c r="K9" s="23">
        <v>0</v>
      </c>
      <c r="L9" s="23">
        <v>705</v>
      </c>
      <c r="M9" s="85">
        <v>4.3999999999999997E-2</v>
      </c>
      <c r="N9" s="20">
        <f t="shared" si="3"/>
        <v>31.02</v>
      </c>
      <c r="O9" s="23">
        <v>48</v>
      </c>
      <c r="P9" s="23">
        <v>15</v>
      </c>
      <c r="Q9" s="23">
        <v>598</v>
      </c>
      <c r="R9" s="23">
        <v>0</v>
      </c>
      <c r="S9" s="23">
        <v>140</v>
      </c>
      <c r="T9" s="23">
        <f t="shared" si="4"/>
        <v>975</v>
      </c>
      <c r="U9" s="23">
        <v>849</v>
      </c>
      <c r="V9" s="23">
        <v>126</v>
      </c>
      <c r="W9" s="170">
        <v>3724</v>
      </c>
      <c r="X9" s="23">
        <f>W9-C9</f>
        <v>95.980000000000018</v>
      </c>
      <c r="Y9" s="85">
        <f>X9/C9</f>
        <v>2.6455201459749399E-2</v>
      </c>
    </row>
    <row r="10" spans="1:25" ht="12.75" customHeight="1">
      <c r="A10" s="58">
        <v>1963</v>
      </c>
      <c r="B10" s="23">
        <v>34727</v>
      </c>
      <c r="C10" s="23">
        <f t="shared" si="0"/>
        <v>4149.6480000000001</v>
      </c>
      <c r="D10" s="23">
        <f t="shared" si="1"/>
        <v>1940</v>
      </c>
      <c r="E10" s="23">
        <v>0</v>
      </c>
      <c r="F10" s="23">
        <v>0</v>
      </c>
      <c r="G10" s="23">
        <v>0</v>
      </c>
      <c r="H10" s="23">
        <v>925</v>
      </c>
      <c r="I10" s="23">
        <v>1015</v>
      </c>
      <c r="J10" s="23">
        <f t="shared" si="2"/>
        <v>815.64800000000002</v>
      </c>
      <c r="K10" s="23">
        <v>0</v>
      </c>
      <c r="L10" s="23">
        <v>742</v>
      </c>
      <c r="M10" s="85">
        <v>4.3999999999999997E-2</v>
      </c>
      <c r="N10" s="20">
        <f t="shared" si="3"/>
        <v>32.647999999999996</v>
      </c>
      <c r="O10" s="23">
        <v>50</v>
      </c>
      <c r="P10" s="23">
        <v>18</v>
      </c>
      <c r="Q10" s="23">
        <v>715</v>
      </c>
      <c r="R10" s="23">
        <v>0</v>
      </c>
      <c r="S10" s="23">
        <v>208</v>
      </c>
      <c r="T10" s="23">
        <f t="shared" si="4"/>
        <v>1186</v>
      </c>
      <c r="U10" s="23">
        <v>983</v>
      </c>
      <c r="V10" s="23">
        <v>203</v>
      </c>
      <c r="W10" s="170">
        <v>4209</v>
      </c>
      <c r="X10" s="23">
        <f>W10-C10</f>
        <v>59.351999999999862</v>
      </c>
      <c r="Y10" s="85">
        <f>X10/C10</f>
        <v>1.4302899908618721E-2</v>
      </c>
    </row>
    <row r="11" spans="1:25" ht="12.75" customHeight="1">
      <c r="A11" s="58">
        <v>1964</v>
      </c>
      <c r="B11" s="23">
        <v>38544</v>
      </c>
      <c r="C11" s="23">
        <f t="shared" si="0"/>
        <v>4350.701</v>
      </c>
      <c r="D11" s="23">
        <f t="shared" si="1"/>
        <v>1919</v>
      </c>
      <c r="E11" s="23">
        <v>0</v>
      </c>
      <c r="F11" s="23">
        <v>0</v>
      </c>
      <c r="G11" s="23">
        <v>0</v>
      </c>
      <c r="H11" s="23">
        <v>861</v>
      </c>
      <c r="I11" s="23">
        <v>1058</v>
      </c>
      <c r="J11" s="23">
        <f t="shared" si="2"/>
        <v>864.70100000000002</v>
      </c>
      <c r="K11" s="23">
        <v>0</v>
      </c>
      <c r="L11" s="23">
        <v>807</v>
      </c>
      <c r="M11" s="85">
        <v>4.2999999999999997E-2</v>
      </c>
      <c r="N11" s="20">
        <f t="shared" si="3"/>
        <v>34.701000000000001</v>
      </c>
      <c r="O11" s="23">
        <v>60</v>
      </c>
      <c r="P11" s="23">
        <v>20</v>
      </c>
      <c r="Q11" s="23">
        <v>750</v>
      </c>
      <c r="R11" s="23">
        <v>0</v>
      </c>
      <c r="S11" s="23">
        <v>226</v>
      </c>
      <c r="T11" s="23">
        <f t="shared" si="4"/>
        <v>1341</v>
      </c>
      <c r="U11" s="23">
        <v>1112</v>
      </c>
      <c r="V11" s="23">
        <v>229</v>
      </c>
      <c r="W11" s="170">
        <v>4462</v>
      </c>
      <c r="X11" s="23">
        <f>W11-C11</f>
        <v>111.29899999999998</v>
      </c>
      <c r="Y11" s="85">
        <f>X11/C11</f>
        <v>2.558185451034212E-2</v>
      </c>
    </row>
    <row r="12" spans="1:25" ht="12.75" customHeight="1">
      <c r="A12" s="58">
        <v>1965</v>
      </c>
      <c r="B12" s="23">
        <v>41957</v>
      </c>
      <c r="C12" s="23">
        <f t="shared" si="0"/>
        <v>4598.67</v>
      </c>
      <c r="D12" s="23">
        <f t="shared" si="1"/>
        <v>1950</v>
      </c>
      <c r="E12" s="23">
        <v>0</v>
      </c>
      <c r="F12" s="23">
        <v>0</v>
      </c>
      <c r="G12" s="23">
        <v>0</v>
      </c>
      <c r="H12" s="23">
        <v>831</v>
      </c>
      <c r="I12" s="23">
        <v>1119</v>
      </c>
      <c r="J12" s="23">
        <f t="shared" si="2"/>
        <v>973.67000000000007</v>
      </c>
      <c r="K12" s="23">
        <v>0</v>
      </c>
      <c r="L12" s="23">
        <v>870</v>
      </c>
      <c r="M12" s="85">
        <v>4.1000000000000002E-2</v>
      </c>
      <c r="N12" s="20">
        <f t="shared" si="3"/>
        <v>35.67</v>
      </c>
      <c r="O12" s="23">
        <v>80</v>
      </c>
      <c r="P12" s="23">
        <v>27</v>
      </c>
      <c r="Q12" s="23">
        <v>831</v>
      </c>
      <c r="R12" s="23">
        <v>0</v>
      </c>
      <c r="S12" s="23">
        <v>214</v>
      </c>
      <c r="T12" s="23">
        <f t="shared" si="4"/>
        <v>1461</v>
      </c>
      <c r="U12" s="23">
        <v>1251</v>
      </c>
      <c r="V12" s="23">
        <v>210</v>
      </c>
      <c r="W12" s="23">
        <v>4794</v>
      </c>
      <c r="X12" s="23">
        <f t="shared" ref="X12:X58" si="5">W12-C12</f>
        <v>195.32999999999993</v>
      </c>
      <c r="Y12" s="85">
        <f t="shared" ref="Y12:Y58" si="6">X12/C12</f>
        <v>4.2475324387268476E-2</v>
      </c>
    </row>
    <row r="13" spans="1:25" ht="12.75" customHeight="1">
      <c r="A13" s="58">
        <v>1966</v>
      </c>
      <c r="B13" s="23">
        <v>46254</v>
      </c>
      <c r="C13" s="23">
        <f t="shared" si="0"/>
        <v>7420.6310000000003</v>
      </c>
      <c r="D13" s="23">
        <f t="shared" si="1"/>
        <v>4705</v>
      </c>
      <c r="E13" s="23">
        <v>1842</v>
      </c>
      <c r="F13" s="23">
        <v>632</v>
      </c>
      <c r="G13" s="23">
        <v>0</v>
      </c>
      <c r="H13" s="23">
        <v>1078</v>
      </c>
      <c r="I13" s="23">
        <v>1153</v>
      </c>
      <c r="J13" s="23">
        <f t="shared" si="2"/>
        <v>849.63099999999997</v>
      </c>
      <c r="K13" s="23">
        <v>0</v>
      </c>
      <c r="L13" s="23">
        <v>991</v>
      </c>
      <c r="M13" s="85">
        <v>4.1000000000000002E-2</v>
      </c>
      <c r="N13" s="20">
        <f t="shared" si="3"/>
        <v>40.631</v>
      </c>
      <c r="O13" s="23">
        <v>114</v>
      </c>
      <c r="P13" s="23">
        <v>42</v>
      </c>
      <c r="Q13" s="23">
        <v>653</v>
      </c>
      <c r="R13" s="23">
        <v>0</v>
      </c>
      <c r="S13" s="23">
        <v>294</v>
      </c>
      <c r="T13" s="23">
        <f t="shared" si="4"/>
        <v>1572</v>
      </c>
      <c r="U13" s="23">
        <v>1335</v>
      </c>
      <c r="V13" s="23">
        <v>237</v>
      </c>
      <c r="W13" s="23">
        <v>7588</v>
      </c>
      <c r="X13" s="23">
        <f t="shared" si="5"/>
        <v>167.36899999999969</v>
      </c>
      <c r="Y13" s="85">
        <f t="shared" si="6"/>
        <v>2.255455095395522E-2</v>
      </c>
    </row>
    <row r="14" spans="1:25" ht="12.75" customHeight="1">
      <c r="A14" s="58">
        <v>1967</v>
      </c>
      <c r="B14" s="23">
        <v>51780</v>
      </c>
      <c r="C14" s="23">
        <f t="shared" si="0"/>
        <v>11833.3</v>
      </c>
      <c r="D14" s="23">
        <f t="shared" si="1"/>
        <v>9041</v>
      </c>
      <c r="E14" s="23">
        <v>4924</v>
      </c>
      <c r="F14" s="23">
        <v>1525</v>
      </c>
      <c r="G14" s="23">
        <v>0</v>
      </c>
      <c r="H14" s="23">
        <v>1324</v>
      </c>
      <c r="I14" s="23">
        <v>1268</v>
      </c>
      <c r="J14" s="23">
        <f t="shared" si="2"/>
        <v>718.3</v>
      </c>
      <c r="K14" s="23">
        <v>0</v>
      </c>
      <c r="L14" s="23">
        <v>1100</v>
      </c>
      <c r="M14" s="85">
        <v>4.2999999999999997E-2</v>
      </c>
      <c r="N14" s="20">
        <f t="shared" si="3"/>
        <v>47.3</v>
      </c>
      <c r="O14" s="23">
        <v>142</v>
      </c>
      <c r="P14" s="23">
        <v>66</v>
      </c>
      <c r="Q14" s="23">
        <v>463</v>
      </c>
      <c r="R14" s="23">
        <v>0</v>
      </c>
      <c r="S14" s="23">
        <v>401</v>
      </c>
      <c r="T14" s="23">
        <f t="shared" si="4"/>
        <v>1673</v>
      </c>
      <c r="U14" s="23">
        <v>1466</v>
      </c>
      <c r="V14" s="23">
        <v>207</v>
      </c>
      <c r="W14" s="23">
        <v>12034</v>
      </c>
      <c r="X14" s="23">
        <f t="shared" si="5"/>
        <v>200.70000000000073</v>
      </c>
      <c r="Y14" s="85">
        <f t="shared" si="6"/>
        <v>1.6960611156651206E-2</v>
      </c>
    </row>
    <row r="15" spans="1:25" ht="12.75" customHeight="1">
      <c r="A15" s="58">
        <v>1968</v>
      </c>
      <c r="B15" s="23">
        <v>58755</v>
      </c>
      <c r="C15" s="23">
        <f t="shared" si="0"/>
        <v>13937.736000000001</v>
      </c>
      <c r="D15" s="23">
        <f t="shared" si="1"/>
        <v>10842</v>
      </c>
      <c r="E15" s="23">
        <v>6218</v>
      </c>
      <c r="F15" s="23">
        <v>1835</v>
      </c>
      <c r="G15" s="23">
        <v>0</v>
      </c>
      <c r="H15" s="23">
        <v>1445</v>
      </c>
      <c r="I15" s="23">
        <v>1344</v>
      </c>
      <c r="J15" s="23">
        <f t="shared" si="2"/>
        <v>796.73599999999999</v>
      </c>
      <c r="K15" s="23">
        <v>0</v>
      </c>
      <c r="L15" s="23">
        <v>1244</v>
      </c>
      <c r="M15" s="85">
        <v>4.3999999999999997E-2</v>
      </c>
      <c r="N15" s="20">
        <f t="shared" si="3"/>
        <v>54.735999999999997</v>
      </c>
      <c r="O15" s="23">
        <v>167</v>
      </c>
      <c r="P15" s="23">
        <v>86</v>
      </c>
      <c r="Q15" s="23">
        <v>489</v>
      </c>
      <c r="R15" s="23">
        <v>0</v>
      </c>
      <c r="S15" s="23">
        <v>470</v>
      </c>
      <c r="T15" s="23">
        <f t="shared" si="4"/>
        <v>1829</v>
      </c>
      <c r="U15" s="23">
        <v>1539</v>
      </c>
      <c r="V15" s="23">
        <v>290</v>
      </c>
      <c r="W15" s="23">
        <v>14120</v>
      </c>
      <c r="X15" s="23">
        <f t="shared" si="5"/>
        <v>182.26399999999921</v>
      </c>
      <c r="Y15" s="85">
        <f t="shared" si="6"/>
        <v>1.3077016238505249E-2</v>
      </c>
    </row>
    <row r="16" spans="1:25" ht="12.75" customHeight="1">
      <c r="A16" s="58">
        <v>1969</v>
      </c>
      <c r="B16" s="23">
        <v>66215</v>
      </c>
      <c r="C16" s="23">
        <f t="shared" si="0"/>
        <v>15743.111999999999</v>
      </c>
      <c r="D16" s="23">
        <f t="shared" si="1"/>
        <v>12326</v>
      </c>
      <c r="E16" s="23">
        <v>7045</v>
      </c>
      <c r="F16" s="23">
        <v>2298</v>
      </c>
      <c r="G16" s="23">
        <v>0</v>
      </c>
      <c r="H16" s="23">
        <v>1499</v>
      </c>
      <c r="I16" s="23">
        <v>1484</v>
      </c>
      <c r="J16" s="23">
        <f t="shared" si="2"/>
        <v>974.11199999999997</v>
      </c>
      <c r="K16" s="23">
        <v>0</v>
      </c>
      <c r="L16" s="23">
        <v>1372</v>
      </c>
      <c r="M16" s="85">
        <v>4.5999999999999999E-2</v>
      </c>
      <c r="N16" s="20">
        <f t="shared" si="3"/>
        <v>63.112000000000002</v>
      </c>
      <c r="O16" s="23">
        <v>190</v>
      </c>
      <c r="P16" s="23">
        <v>100</v>
      </c>
      <c r="Q16" s="23">
        <v>621</v>
      </c>
      <c r="R16" s="23">
        <v>0</v>
      </c>
      <c r="S16" s="23">
        <v>564</v>
      </c>
      <c r="T16" s="23">
        <f t="shared" si="4"/>
        <v>1879</v>
      </c>
      <c r="U16" s="23">
        <v>1555</v>
      </c>
      <c r="V16" s="23">
        <v>324</v>
      </c>
      <c r="W16" s="23">
        <v>15941</v>
      </c>
      <c r="X16" s="23">
        <f t="shared" si="5"/>
        <v>197.88800000000083</v>
      </c>
      <c r="Y16" s="85">
        <f t="shared" si="6"/>
        <v>1.2569814659261831E-2</v>
      </c>
    </row>
    <row r="17" spans="1:25" ht="18" customHeight="1">
      <c r="A17" s="58">
        <v>1970</v>
      </c>
      <c r="B17" s="23">
        <v>74853</v>
      </c>
      <c r="C17" s="23">
        <f t="shared" si="0"/>
        <v>17643.22</v>
      </c>
      <c r="D17" s="23">
        <f t="shared" si="1"/>
        <v>13815</v>
      </c>
      <c r="E17" s="23">
        <v>7672</v>
      </c>
      <c r="F17" s="23">
        <v>2842</v>
      </c>
      <c r="G17" s="23">
        <v>0</v>
      </c>
      <c r="H17" s="23">
        <v>1582</v>
      </c>
      <c r="I17" s="23">
        <v>1719</v>
      </c>
      <c r="J17" s="23">
        <f t="shared" si="2"/>
        <v>1326.22</v>
      </c>
      <c r="K17" s="23">
        <v>0</v>
      </c>
      <c r="L17" s="23">
        <v>1532</v>
      </c>
      <c r="M17" s="85">
        <v>8.5000000000000006E-2</v>
      </c>
      <c r="N17" s="20">
        <f t="shared" si="3"/>
        <v>130.22</v>
      </c>
      <c r="O17" s="23">
        <v>148</v>
      </c>
      <c r="P17" s="23">
        <v>121</v>
      </c>
      <c r="Q17" s="23">
        <v>927</v>
      </c>
      <c r="R17" s="23">
        <v>0</v>
      </c>
      <c r="S17" s="23">
        <v>594</v>
      </c>
      <c r="T17" s="23">
        <f t="shared" si="4"/>
        <v>1908</v>
      </c>
      <c r="U17" s="23">
        <v>1556</v>
      </c>
      <c r="V17" s="23">
        <v>352</v>
      </c>
      <c r="W17" s="23">
        <v>17740</v>
      </c>
      <c r="X17" s="23">
        <f t="shared" si="5"/>
        <v>96.779999999998836</v>
      </c>
      <c r="Y17" s="85">
        <f t="shared" si="6"/>
        <v>5.4853932558795292E-3</v>
      </c>
    </row>
    <row r="18" spans="1:25" ht="12.75" customHeight="1">
      <c r="A18" s="58">
        <v>1971</v>
      </c>
      <c r="B18" s="23">
        <v>83240</v>
      </c>
      <c r="C18" s="23">
        <f t="shared" si="0"/>
        <v>20475.78</v>
      </c>
      <c r="D18" s="23">
        <f t="shared" si="1"/>
        <v>16002</v>
      </c>
      <c r="E18" s="23">
        <v>8443</v>
      </c>
      <c r="F18" s="23">
        <v>3810</v>
      </c>
      <c r="G18" s="23">
        <v>0</v>
      </c>
      <c r="H18" s="23">
        <v>1766</v>
      </c>
      <c r="I18" s="23">
        <v>1983</v>
      </c>
      <c r="J18" s="23">
        <f t="shared" si="2"/>
        <v>1674.78</v>
      </c>
      <c r="K18" s="23">
        <v>0</v>
      </c>
      <c r="L18" s="23">
        <v>1570</v>
      </c>
      <c r="M18" s="85">
        <v>0.154</v>
      </c>
      <c r="N18" s="20">
        <f t="shared" si="3"/>
        <v>241.78</v>
      </c>
      <c r="O18" s="23">
        <v>191</v>
      </c>
      <c r="P18" s="23">
        <v>140</v>
      </c>
      <c r="Q18" s="23">
        <v>1102</v>
      </c>
      <c r="R18" s="23">
        <v>0</v>
      </c>
      <c r="S18" s="23">
        <v>791</v>
      </c>
      <c r="T18" s="23">
        <f t="shared" si="4"/>
        <v>2008</v>
      </c>
      <c r="U18" s="23">
        <v>1663</v>
      </c>
      <c r="V18" s="23">
        <v>345</v>
      </c>
      <c r="W18" s="23">
        <v>20561</v>
      </c>
      <c r="X18" s="23">
        <f t="shared" si="5"/>
        <v>85.220000000001164</v>
      </c>
      <c r="Y18" s="85">
        <f t="shared" si="6"/>
        <v>4.1619904101333951E-3</v>
      </c>
    </row>
    <row r="19" spans="1:25" ht="12.75" customHeight="1">
      <c r="A19" s="58">
        <v>1972</v>
      </c>
      <c r="B19" s="23">
        <v>93141</v>
      </c>
      <c r="C19" s="23">
        <f t="shared" si="0"/>
        <v>23009.56</v>
      </c>
      <c r="D19" s="23">
        <f t="shared" si="1"/>
        <v>18160</v>
      </c>
      <c r="E19" s="23">
        <v>9325</v>
      </c>
      <c r="F19" s="23">
        <v>4547</v>
      </c>
      <c r="G19" s="23">
        <v>0</v>
      </c>
      <c r="H19" s="23">
        <v>1997</v>
      </c>
      <c r="I19" s="23">
        <v>2291</v>
      </c>
      <c r="J19" s="23">
        <f t="shared" si="2"/>
        <v>1656.56</v>
      </c>
      <c r="K19" s="23">
        <v>0</v>
      </c>
      <c r="L19" s="23">
        <v>1715</v>
      </c>
      <c r="M19" s="85">
        <v>0.184</v>
      </c>
      <c r="N19" s="20">
        <f t="shared" si="3"/>
        <v>315.56</v>
      </c>
      <c r="O19" s="23">
        <v>234</v>
      </c>
      <c r="P19" s="23">
        <v>144</v>
      </c>
      <c r="Q19" s="23">
        <v>963</v>
      </c>
      <c r="R19" s="23">
        <v>0</v>
      </c>
      <c r="S19" s="23">
        <v>893</v>
      </c>
      <c r="T19" s="23">
        <f t="shared" si="4"/>
        <v>2300</v>
      </c>
      <c r="U19" s="23">
        <v>1893</v>
      </c>
      <c r="V19" s="23">
        <v>407</v>
      </c>
      <c r="W19" s="23">
        <v>22906</v>
      </c>
      <c r="X19" s="23">
        <f t="shared" si="5"/>
        <v>-103.56000000000131</v>
      </c>
      <c r="Y19" s="85">
        <f t="shared" si="6"/>
        <v>-4.5007379541373805E-3</v>
      </c>
    </row>
    <row r="20" spans="1:25" ht="12.75" customHeight="1">
      <c r="A20" s="58">
        <v>1973</v>
      </c>
      <c r="B20" s="23">
        <v>103365</v>
      </c>
      <c r="C20" s="23">
        <f t="shared" si="0"/>
        <v>25786.75</v>
      </c>
      <c r="D20" s="23">
        <f t="shared" si="1"/>
        <v>20544</v>
      </c>
      <c r="E20" s="23">
        <v>10730</v>
      </c>
      <c r="F20" s="23">
        <v>4933</v>
      </c>
      <c r="G20" s="23">
        <v>0</v>
      </c>
      <c r="H20" s="23">
        <v>2235</v>
      </c>
      <c r="I20" s="23">
        <v>2646</v>
      </c>
      <c r="J20" s="23">
        <f t="shared" si="2"/>
        <v>1845.75</v>
      </c>
      <c r="K20" s="23">
        <v>0</v>
      </c>
      <c r="L20" s="23">
        <v>2051</v>
      </c>
      <c r="M20" s="85">
        <v>0.25</v>
      </c>
      <c r="N20" s="20">
        <f t="shared" si="3"/>
        <v>512.75</v>
      </c>
      <c r="O20" s="23">
        <v>204</v>
      </c>
      <c r="P20" s="23">
        <v>149</v>
      </c>
      <c r="Q20" s="23">
        <v>980</v>
      </c>
      <c r="R20" s="23">
        <v>0</v>
      </c>
      <c r="S20" s="23">
        <v>854</v>
      </c>
      <c r="T20" s="23">
        <f t="shared" si="4"/>
        <v>2543</v>
      </c>
      <c r="U20" s="23">
        <v>2022</v>
      </c>
      <c r="V20" s="23">
        <v>521</v>
      </c>
      <c r="W20" s="23">
        <v>25370</v>
      </c>
      <c r="X20" s="23">
        <f t="shared" si="5"/>
        <v>-416.75</v>
      </c>
      <c r="Y20" s="85">
        <f t="shared" si="6"/>
        <v>-1.6161400719361688E-2</v>
      </c>
    </row>
    <row r="21" spans="1:25" ht="12.75" customHeight="1">
      <c r="A21" s="58">
        <v>1974</v>
      </c>
      <c r="B21" s="23">
        <v>117157</v>
      </c>
      <c r="C21" s="23">
        <f t="shared" si="0"/>
        <v>30796.275999999998</v>
      </c>
      <c r="D21" s="23">
        <f t="shared" si="1"/>
        <v>25080</v>
      </c>
      <c r="E21" s="23">
        <v>13428</v>
      </c>
      <c r="F21" s="23">
        <v>6277</v>
      </c>
      <c r="G21" s="23">
        <v>0</v>
      </c>
      <c r="H21" s="23">
        <v>2475</v>
      </c>
      <c r="I21" s="23">
        <v>2900</v>
      </c>
      <c r="J21" s="23">
        <f t="shared" si="2"/>
        <v>2006.2759999999998</v>
      </c>
      <c r="K21" s="23">
        <v>0</v>
      </c>
      <c r="L21" s="23">
        <v>2382</v>
      </c>
      <c r="M21" s="85">
        <v>0.218</v>
      </c>
      <c r="N21" s="20">
        <f t="shared" si="3"/>
        <v>519.27599999999995</v>
      </c>
      <c r="O21" s="23">
        <v>243</v>
      </c>
      <c r="P21" s="23">
        <v>158</v>
      </c>
      <c r="Q21" s="23">
        <v>1086</v>
      </c>
      <c r="R21" s="23">
        <v>0</v>
      </c>
      <c r="S21" s="23">
        <v>969</v>
      </c>
      <c r="T21" s="23">
        <f t="shared" si="4"/>
        <v>2741</v>
      </c>
      <c r="U21" s="23">
        <v>2245</v>
      </c>
      <c r="V21" s="23">
        <v>496</v>
      </c>
      <c r="W21" s="23">
        <v>30472</v>
      </c>
      <c r="X21" s="23">
        <f t="shared" si="5"/>
        <v>-324.27599999999802</v>
      </c>
      <c r="Y21" s="85">
        <f t="shared" si="6"/>
        <v>-1.0529714696673001E-2</v>
      </c>
    </row>
    <row r="22" spans="1:25" ht="12.75" customHeight="1">
      <c r="A22" s="58">
        <v>1975</v>
      </c>
      <c r="B22" s="23">
        <v>133585</v>
      </c>
      <c r="C22" s="23">
        <f t="shared" si="0"/>
        <v>36674.483</v>
      </c>
      <c r="D22" s="23">
        <f t="shared" si="1"/>
        <v>29716</v>
      </c>
      <c r="E22" s="23">
        <v>16336</v>
      </c>
      <c r="F22" s="23">
        <v>7409</v>
      </c>
      <c r="G22" s="23">
        <v>0</v>
      </c>
      <c r="H22" s="23">
        <v>2590</v>
      </c>
      <c r="I22" s="23">
        <v>3381</v>
      </c>
      <c r="J22" s="23">
        <f t="shared" si="2"/>
        <v>2453.4830000000002</v>
      </c>
      <c r="K22" s="23">
        <v>197</v>
      </c>
      <c r="L22" s="23">
        <v>2669</v>
      </c>
      <c r="M22" s="85">
        <v>0.20699999999999999</v>
      </c>
      <c r="N22" s="20">
        <f t="shared" si="3"/>
        <v>552.48299999999995</v>
      </c>
      <c r="O22" s="23">
        <v>276</v>
      </c>
      <c r="P22" s="23">
        <v>164</v>
      </c>
      <c r="Q22" s="23">
        <v>695</v>
      </c>
      <c r="R22" s="23">
        <v>569</v>
      </c>
      <c r="S22" s="23">
        <v>1043</v>
      </c>
      <c r="T22" s="23">
        <f t="shared" si="4"/>
        <v>3462</v>
      </c>
      <c r="U22" s="23">
        <v>2809</v>
      </c>
      <c r="V22" s="23">
        <v>653</v>
      </c>
      <c r="W22" s="23">
        <v>36331</v>
      </c>
      <c r="X22" s="23">
        <f t="shared" si="5"/>
        <v>-343.48300000000017</v>
      </c>
      <c r="Y22" s="85">
        <f t="shared" si="6"/>
        <v>-9.365721665387898E-3</v>
      </c>
    </row>
    <row r="23" spans="1:25" ht="12.75" customHeight="1">
      <c r="A23" s="58">
        <v>1976</v>
      </c>
      <c r="B23" s="23">
        <v>153011</v>
      </c>
      <c r="C23" s="23">
        <f t="shared" si="0"/>
        <v>43146.044999999998</v>
      </c>
      <c r="D23" s="23">
        <f t="shared" si="1"/>
        <v>35608</v>
      </c>
      <c r="E23" s="23">
        <v>19694</v>
      </c>
      <c r="F23" s="23">
        <v>9153</v>
      </c>
      <c r="G23" s="23">
        <v>0</v>
      </c>
      <c r="H23" s="23">
        <v>2695</v>
      </c>
      <c r="I23" s="23">
        <v>4066</v>
      </c>
      <c r="J23" s="23">
        <f t="shared" si="2"/>
        <v>2666.0450000000001</v>
      </c>
      <c r="K23" s="23">
        <v>255</v>
      </c>
      <c r="L23" s="23">
        <v>3031</v>
      </c>
      <c r="M23" s="85">
        <v>0.19500000000000001</v>
      </c>
      <c r="N23" s="20">
        <f t="shared" si="3"/>
        <v>591.04500000000007</v>
      </c>
      <c r="O23" s="23">
        <v>297</v>
      </c>
      <c r="P23" s="23">
        <v>163</v>
      </c>
      <c r="Q23" s="23">
        <v>823</v>
      </c>
      <c r="R23" s="23">
        <v>537</v>
      </c>
      <c r="S23" s="23">
        <v>1110</v>
      </c>
      <c r="T23" s="23">
        <f t="shared" si="4"/>
        <v>3762</v>
      </c>
      <c r="U23" s="23">
        <v>3119</v>
      </c>
      <c r="V23" s="23">
        <v>643</v>
      </c>
      <c r="W23" s="23">
        <v>42800</v>
      </c>
      <c r="X23" s="23">
        <f t="shared" si="5"/>
        <v>-346.04499999999825</v>
      </c>
      <c r="Y23" s="85">
        <f t="shared" si="6"/>
        <v>-8.0203179688891138E-3</v>
      </c>
    </row>
    <row r="24" spans="1:25" ht="12.75" customHeight="1">
      <c r="A24" s="58">
        <v>1977</v>
      </c>
      <c r="B24" s="23">
        <v>173979</v>
      </c>
      <c r="C24" s="23">
        <f t="shared" si="0"/>
        <v>47682.574000000001</v>
      </c>
      <c r="D24" s="23">
        <f t="shared" si="1"/>
        <v>39855</v>
      </c>
      <c r="E24" s="23">
        <v>22891</v>
      </c>
      <c r="F24" s="23">
        <v>9896</v>
      </c>
      <c r="G24" s="23">
        <v>0</v>
      </c>
      <c r="H24" s="23">
        <v>2922</v>
      </c>
      <c r="I24" s="23">
        <v>4146</v>
      </c>
      <c r="J24" s="23">
        <f t="shared" si="2"/>
        <v>2850.5740000000001</v>
      </c>
      <c r="K24" s="23">
        <v>307</v>
      </c>
      <c r="L24" s="23">
        <v>3506</v>
      </c>
      <c r="M24" s="85">
        <v>0.17899999999999999</v>
      </c>
      <c r="N24" s="20">
        <f t="shared" si="3"/>
        <v>627.57399999999996</v>
      </c>
      <c r="O24" s="23">
        <v>311</v>
      </c>
      <c r="P24" s="23">
        <v>170</v>
      </c>
      <c r="Q24" s="23">
        <v>854</v>
      </c>
      <c r="R24" s="23">
        <v>581</v>
      </c>
      <c r="S24" s="23">
        <v>1152</v>
      </c>
      <c r="T24" s="23">
        <f t="shared" si="4"/>
        <v>3825</v>
      </c>
      <c r="U24" s="23">
        <v>3267</v>
      </c>
      <c r="V24" s="23">
        <v>558</v>
      </c>
      <c r="W24" s="23">
        <v>47298</v>
      </c>
      <c r="X24" s="23">
        <f t="shared" si="5"/>
        <v>-384.57400000000052</v>
      </c>
      <c r="Y24" s="85">
        <f t="shared" si="6"/>
        <v>-8.0652944616622525E-3</v>
      </c>
    </row>
    <row r="25" spans="1:25" ht="12.75" customHeight="1">
      <c r="A25" s="58">
        <v>1978</v>
      </c>
      <c r="B25" s="23">
        <v>195528</v>
      </c>
      <c r="C25" s="23">
        <f t="shared" si="0"/>
        <v>54430.836000000003</v>
      </c>
      <c r="D25" s="23">
        <f t="shared" si="1"/>
        <v>45513</v>
      </c>
      <c r="E25" s="23">
        <v>26668</v>
      </c>
      <c r="F25" s="23">
        <v>10919</v>
      </c>
      <c r="G25" s="23">
        <v>0</v>
      </c>
      <c r="H25" s="23">
        <v>3067</v>
      </c>
      <c r="I25" s="23">
        <v>4859</v>
      </c>
      <c r="J25" s="23">
        <f t="shared" si="2"/>
        <v>3258.8360000000002</v>
      </c>
      <c r="K25" s="23">
        <v>375</v>
      </c>
      <c r="L25" s="23">
        <v>4026</v>
      </c>
      <c r="M25" s="85">
        <v>0.186</v>
      </c>
      <c r="N25" s="20">
        <f t="shared" si="3"/>
        <v>748.83600000000001</v>
      </c>
      <c r="O25" s="23">
        <v>330</v>
      </c>
      <c r="P25" s="23">
        <v>168</v>
      </c>
      <c r="Q25" s="23">
        <v>948</v>
      </c>
      <c r="R25" s="23">
        <v>689</v>
      </c>
      <c r="S25" s="23">
        <v>1154</v>
      </c>
      <c r="T25" s="23">
        <f t="shared" si="4"/>
        <v>4505</v>
      </c>
      <c r="U25" s="23">
        <v>3760</v>
      </c>
      <c r="V25" s="23">
        <v>745</v>
      </c>
      <c r="W25" s="23">
        <v>54128</v>
      </c>
      <c r="X25" s="23">
        <f t="shared" si="5"/>
        <v>-302.83600000000297</v>
      </c>
      <c r="Y25" s="85">
        <f t="shared" si="6"/>
        <v>-5.5636845261756215E-3</v>
      </c>
    </row>
    <row r="26" spans="1:25" ht="12.75" customHeight="1">
      <c r="A26" s="58">
        <v>1979</v>
      </c>
      <c r="B26" s="23">
        <v>221658</v>
      </c>
      <c r="C26" s="23">
        <f t="shared" si="0"/>
        <v>61652.44</v>
      </c>
      <c r="D26" s="23">
        <f t="shared" si="1"/>
        <v>52157</v>
      </c>
      <c r="E26" s="23">
        <v>30922</v>
      </c>
      <c r="F26" s="23">
        <v>12705</v>
      </c>
      <c r="G26" s="23">
        <v>0</v>
      </c>
      <c r="H26" s="23">
        <v>3457</v>
      </c>
      <c r="I26" s="23">
        <v>5073</v>
      </c>
      <c r="J26" s="23">
        <f t="shared" si="2"/>
        <v>3650.44</v>
      </c>
      <c r="K26" s="23">
        <v>412</v>
      </c>
      <c r="L26" s="23">
        <v>4945</v>
      </c>
      <c r="M26" s="85">
        <v>0.192</v>
      </c>
      <c r="N26" s="20">
        <f t="shared" si="3"/>
        <v>949.44</v>
      </c>
      <c r="O26" s="23">
        <v>339</v>
      </c>
      <c r="P26" s="23">
        <v>171</v>
      </c>
      <c r="Q26" s="23">
        <v>1116</v>
      </c>
      <c r="R26" s="23">
        <v>663</v>
      </c>
      <c r="S26" s="23">
        <v>1108</v>
      </c>
      <c r="T26" s="23">
        <f t="shared" si="4"/>
        <v>4737</v>
      </c>
      <c r="U26" s="23">
        <v>4082</v>
      </c>
      <c r="V26" s="23">
        <v>655</v>
      </c>
      <c r="W26" s="23">
        <v>61116</v>
      </c>
      <c r="X26" s="23">
        <f t="shared" si="5"/>
        <v>-536.44000000000233</v>
      </c>
      <c r="Y26" s="85">
        <f t="shared" si="6"/>
        <v>-8.7010343791746499E-3</v>
      </c>
    </row>
    <row r="27" spans="1:25" ht="18" customHeight="1">
      <c r="A27" s="58">
        <v>1980</v>
      </c>
      <c r="B27" s="23">
        <v>255784</v>
      </c>
      <c r="C27" s="23">
        <f t="shared" si="0"/>
        <v>72643.716</v>
      </c>
      <c r="D27" s="23">
        <f t="shared" si="1"/>
        <v>61597</v>
      </c>
      <c r="E27" s="23">
        <v>37387</v>
      </c>
      <c r="F27" s="23">
        <v>14521</v>
      </c>
      <c r="G27" s="23">
        <v>0</v>
      </c>
      <c r="H27" s="23">
        <v>3949</v>
      </c>
      <c r="I27" s="23">
        <v>5740</v>
      </c>
      <c r="J27" s="23">
        <f t="shared" si="2"/>
        <v>4172.7160000000003</v>
      </c>
      <c r="K27" s="23">
        <v>448</v>
      </c>
      <c r="L27" s="23">
        <v>5606</v>
      </c>
      <c r="M27" s="85">
        <v>0.186</v>
      </c>
      <c r="N27" s="20">
        <f t="shared" si="3"/>
        <v>1042.7159999999999</v>
      </c>
      <c r="O27" s="23">
        <v>344</v>
      </c>
      <c r="P27" s="23">
        <v>170</v>
      </c>
      <c r="Q27" s="23">
        <v>1343</v>
      </c>
      <c r="R27" s="23">
        <v>825</v>
      </c>
      <c r="S27" s="23">
        <v>1235</v>
      </c>
      <c r="T27" s="23">
        <f t="shared" si="4"/>
        <v>5639</v>
      </c>
      <c r="U27" s="23">
        <v>4616</v>
      </c>
      <c r="V27" s="23">
        <v>1023</v>
      </c>
      <c r="W27" s="23">
        <v>71559</v>
      </c>
      <c r="X27" s="23">
        <f t="shared" si="5"/>
        <v>-1084.7160000000003</v>
      </c>
      <c r="Y27" s="85">
        <f t="shared" si="6"/>
        <v>-1.4932000449976985E-2</v>
      </c>
    </row>
    <row r="28" spans="1:25" ht="12.75" customHeight="1">
      <c r="A28" s="58">
        <v>1981</v>
      </c>
      <c r="B28" s="23">
        <v>296739</v>
      </c>
      <c r="C28" s="23">
        <f t="shared" si="0"/>
        <v>84052.319000000003</v>
      </c>
      <c r="D28" s="23">
        <f t="shared" si="1"/>
        <v>72520</v>
      </c>
      <c r="E28" s="23">
        <v>44769</v>
      </c>
      <c r="F28" s="23">
        <v>16902</v>
      </c>
      <c r="G28" s="23">
        <v>0</v>
      </c>
      <c r="H28" s="23">
        <v>4588</v>
      </c>
      <c r="I28" s="23">
        <v>6261</v>
      </c>
      <c r="J28" s="23">
        <f t="shared" si="2"/>
        <v>4211.3190000000004</v>
      </c>
      <c r="K28" s="23">
        <v>509</v>
      </c>
      <c r="L28" s="23">
        <v>6189</v>
      </c>
      <c r="M28" s="85">
        <v>0.17100000000000001</v>
      </c>
      <c r="N28" s="20">
        <f t="shared" si="3"/>
        <v>1058.3190000000002</v>
      </c>
      <c r="O28" s="23">
        <v>339</v>
      </c>
      <c r="P28" s="23">
        <v>172</v>
      </c>
      <c r="Q28" s="23">
        <v>1334</v>
      </c>
      <c r="R28" s="23">
        <v>799</v>
      </c>
      <c r="S28" s="23">
        <v>1216</v>
      </c>
      <c r="T28" s="23">
        <f t="shared" si="4"/>
        <v>6105</v>
      </c>
      <c r="U28" s="23">
        <v>4790</v>
      </c>
      <c r="V28" s="23">
        <v>1315</v>
      </c>
      <c r="W28" s="23">
        <v>83114</v>
      </c>
      <c r="X28" s="23">
        <f t="shared" si="5"/>
        <v>-938.31900000000314</v>
      </c>
      <c r="Y28" s="85">
        <f t="shared" si="6"/>
        <v>-1.116351114595664E-2</v>
      </c>
    </row>
    <row r="29" spans="1:25" ht="12.75" customHeight="1">
      <c r="A29" s="58">
        <v>1982</v>
      </c>
      <c r="B29" s="23">
        <v>334699</v>
      </c>
      <c r="C29" s="23">
        <f t="shared" si="0"/>
        <v>93508.853000000003</v>
      </c>
      <c r="D29" s="23">
        <f t="shared" si="1"/>
        <v>82257</v>
      </c>
      <c r="E29" s="23">
        <v>52351</v>
      </c>
      <c r="F29" s="23">
        <v>17843</v>
      </c>
      <c r="G29" s="23">
        <v>0</v>
      </c>
      <c r="H29" s="23">
        <v>5158</v>
      </c>
      <c r="I29" s="23">
        <v>6905</v>
      </c>
      <c r="J29" s="23">
        <f t="shared" si="2"/>
        <v>3928.8530000000001</v>
      </c>
      <c r="K29" s="23">
        <v>506</v>
      </c>
      <c r="L29" s="23">
        <v>6929</v>
      </c>
      <c r="M29" s="85">
        <v>0.157</v>
      </c>
      <c r="N29" s="20">
        <f t="shared" si="3"/>
        <v>1087.8530000000001</v>
      </c>
      <c r="O29" s="23">
        <v>343</v>
      </c>
      <c r="P29" s="23">
        <v>172</v>
      </c>
      <c r="Q29" s="23">
        <v>1184</v>
      </c>
      <c r="R29" s="23">
        <v>636</v>
      </c>
      <c r="S29" s="23">
        <v>1141</v>
      </c>
      <c r="T29" s="23">
        <f t="shared" si="4"/>
        <v>6182</v>
      </c>
      <c r="U29" s="23">
        <v>4955</v>
      </c>
      <c r="V29" s="23">
        <v>1227</v>
      </c>
      <c r="W29" s="23">
        <v>92045</v>
      </c>
      <c r="X29" s="23">
        <f t="shared" si="5"/>
        <v>-1463.8530000000028</v>
      </c>
      <c r="Y29" s="85">
        <f t="shared" si="6"/>
        <v>-1.5654699560906846E-2</v>
      </c>
    </row>
    <row r="30" spans="1:25" ht="12.75" customHeight="1">
      <c r="A30" s="58">
        <v>1983</v>
      </c>
      <c r="B30" s="23">
        <v>368987</v>
      </c>
      <c r="C30" s="23">
        <f t="shared" si="0"/>
        <v>104292.465</v>
      </c>
      <c r="D30" s="23">
        <f t="shared" si="1"/>
        <v>91935</v>
      </c>
      <c r="E30" s="23">
        <v>59559</v>
      </c>
      <c r="F30" s="23">
        <v>19587</v>
      </c>
      <c r="G30" s="23">
        <v>0</v>
      </c>
      <c r="H30" s="23">
        <v>5393</v>
      </c>
      <c r="I30" s="23">
        <v>7396</v>
      </c>
      <c r="J30" s="23">
        <f t="shared" si="2"/>
        <v>3868.4650000000001</v>
      </c>
      <c r="K30" s="23">
        <v>559</v>
      </c>
      <c r="L30" s="23">
        <v>7285</v>
      </c>
      <c r="M30" s="85">
        <v>0.14899999999999999</v>
      </c>
      <c r="N30" s="20">
        <f t="shared" si="3"/>
        <v>1085.4649999999999</v>
      </c>
      <c r="O30" s="23">
        <v>398</v>
      </c>
      <c r="P30" s="23">
        <v>183</v>
      </c>
      <c r="Q30" s="23">
        <v>1044</v>
      </c>
      <c r="R30" s="23">
        <v>599</v>
      </c>
      <c r="S30" s="23">
        <v>1232</v>
      </c>
      <c r="T30" s="23">
        <f t="shared" si="4"/>
        <v>7257</v>
      </c>
      <c r="U30" s="23">
        <v>5331</v>
      </c>
      <c r="V30" s="23">
        <v>1926</v>
      </c>
      <c r="W30" s="23">
        <v>102553</v>
      </c>
      <c r="X30" s="23">
        <f t="shared" si="5"/>
        <v>-1739.4649999999965</v>
      </c>
      <c r="Y30" s="85">
        <f t="shared" si="6"/>
        <v>-1.6678721708226922E-2</v>
      </c>
    </row>
    <row r="31" spans="1:25" ht="12.75" customHeight="1">
      <c r="A31" s="58">
        <v>1984</v>
      </c>
      <c r="B31" s="23">
        <v>406512</v>
      </c>
      <c r="C31" s="23">
        <f t="shared" si="0"/>
        <v>115067.235</v>
      </c>
      <c r="D31" s="23">
        <f t="shared" si="1"/>
        <v>101215</v>
      </c>
      <c r="E31" s="23">
        <v>66207</v>
      </c>
      <c r="F31" s="23">
        <v>21096</v>
      </c>
      <c r="G31" s="23">
        <v>0</v>
      </c>
      <c r="H31" s="23">
        <v>5842</v>
      </c>
      <c r="I31" s="23">
        <v>8070</v>
      </c>
      <c r="J31" s="23">
        <f t="shared" si="2"/>
        <v>3894.2350000000001</v>
      </c>
      <c r="K31" s="23">
        <v>645</v>
      </c>
      <c r="L31" s="23">
        <v>7661</v>
      </c>
      <c r="M31" s="85">
        <v>0.13500000000000001</v>
      </c>
      <c r="N31" s="20">
        <f t="shared" si="3"/>
        <v>1034.2350000000001</v>
      </c>
      <c r="O31" s="23">
        <v>348</v>
      </c>
      <c r="P31" s="23">
        <v>195</v>
      </c>
      <c r="Q31" s="23">
        <v>1065</v>
      </c>
      <c r="R31" s="23">
        <v>607</v>
      </c>
      <c r="S31" s="23">
        <v>1298</v>
      </c>
      <c r="T31" s="23">
        <f t="shared" si="4"/>
        <v>8660</v>
      </c>
      <c r="U31" s="23">
        <v>6269</v>
      </c>
      <c r="V31" s="23">
        <v>2391</v>
      </c>
      <c r="W31" s="23">
        <v>113334</v>
      </c>
      <c r="X31" s="23">
        <f t="shared" si="5"/>
        <v>-1733.2350000000006</v>
      </c>
      <c r="Y31" s="85">
        <f t="shared" si="6"/>
        <v>-1.5062802195603298E-2</v>
      </c>
    </row>
    <row r="32" spans="1:25" ht="12.75" customHeight="1">
      <c r="A32" s="58">
        <v>1985</v>
      </c>
      <c r="B32" s="23">
        <v>444608</v>
      </c>
      <c r="C32" s="23">
        <f t="shared" si="0"/>
        <v>124369.37699999999</v>
      </c>
      <c r="D32" s="23">
        <f t="shared" si="1"/>
        <v>109619</v>
      </c>
      <c r="E32" s="23">
        <v>71829</v>
      </c>
      <c r="F32" s="23">
        <v>22594</v>
      </c>
      <c r="G32" s="23">
        <v>0</v>
      </c>
      <c r="H32" s="23">
        <v>6864</v>
      </c>
      <c r="I32" s="23">
        <v>8332</v>
      </c>
      <c r="J32" s="23">
        <f t="shared" si="2"/>
        <v>4032.377</v>
      </c>
      <c r="K32" s="23">
        <v>721</v>
      </c>
      <c r="L32" s="23">
        <v>8937</v>
      </c>
      <c r="M32" s="85">
        <v>0.121</v>
      </c>
      <c r="N32" s="20">
        <f t="shared" si="3"/>
        <v>1081.377</v>
      </c>
      <c r="O32" s="23">
        <v>407</v>
      </c>
      <c r="P32" s="23">
        <v>200</v>
      </c>
      <c r="Q32" s="23">
        <v>1108</v>
      </c>
      <c r="R32" s="23">
        <v>515</v>
      </c>
      <c r="S32" s="23">
        <v>1326</v>
      </c>
      <c r="T32" s="23">
        <f t="shared" si="4"/>
        <v>9392</v>
      </c>
      <c r="U32" s="23">
        <v>6830</v>
      </c>
      <c r="V32" s="23">
        <v>2562</v>
      </c>
      <c r="W32" s="23">
        <v>123057</v>
      </c>
      <c r="X32" s="23">
        <f t="shared" si="5"/>
        <v>-1312.3769999999931</v>
      </c>
      <c r="Y32" s="85">
        <f t="shared" si="6"/>
        <v>-1.0552251942212376E-2</v>
      </c>
    </row>
    <row r="33" spans="1:25" ht="12.75" customHeight="1">
      <c r="A33" s="58">
        <v>1986</v>
      </c>
      <c r="B33" s="23">
        <v>476892</v>
      </c>
      <c r="C33" s="23">
        <f t="shared" si="0"/>
        <v>133992.04700000002</v>
      </c>
      <c r="D33" s="23">
        <f t="shared" si="1"/>
        <v>118425</v>
      </c>
      <c r="E33" s="23">
        <v>76829</v>
      </c>
      <c r="F33" s="23">
        <v>25187</v>
      </c>
      <c r="G33" s="23">
        <v>0</v>
      </c>
      <c r="H33" s="23">
        <v>7634</v>
      </c>
      <c r="I33" s="23">
        <v>8775</v>
      </c>
      <c r="J33" s="23">
        <f t="shared" si="2"/>
        <v>4080.047</v>
      </c>
      <c r="K33" s="23">
        <v>713</v>
      </c>
      <c r="L33" s="23">
        <v>10083</v>
      </c>
      <c r="M33" s="85">
        <v>0.109</v>
      </c>
      <c r="N33" s="20">
        <f t="shared" si="3"/>
        <v>1099.047</v>
      </c>
      <c r="O33" s="23">
        <v>395</v>
      </c>
      <c r="P33" s="23">
        <v>207</v>
      </c>
      <c r="Q33" s="23">
        <v>1133</v>
      </c>
      <c r="R33" s="23">
        <v>533</v>
      </c>
      <c r="S33" s="23">
        <v>1340</v>
      </c>
      <c r="T33" s="23">
        <f t="shared" si="4"/>
        <v>10147</v>
      </c>
      <c r="U33" s="23">
        <v>7114</v>
      </c>
      <c r="V33" s="23">
        <v>3033</v>
      </c>
      <c r="W33" s="23">
        <v>132646</v>
      </c>
      <c r="X33" s="23">
        <f t="shared" si="5"/>
        <v>-1346.0470000000205</v>
      </c>
      <c r="Y33" s="85">
        <f t="shared" si="6"/>
        <v>-1.0045723086833805E-2</v>
      </c>
    </row>
    <row r="34" spans="1:25" ht="12.75" customHeight="1">
      <c r="A34" s="58">
        <v>1987</v>
      </c>
      <c r="B34" s="23">
        <v>519117</v>
      </c>
      <c r="C34" s="23">
        <f t="shared" si="0"/>
        <v>145761.842</v>
      </c>
      <c r="D34" s="23">
        <f t="shared" si="1"/>
        <v>128387</v>
      </c>
      <c r="E34" s="23">
        <v>83081</v>
      </c>
      <c r="F34" s="23">
        <v>27868</v>
      </c>
      <c r="G34" s="23">
        <v>0</v>
      </c>
      <c r="H34" s="23">
        <v>8202</v>
      </c>
      <c r="I34" s="23">
        <v>9236</v>
      </c>
      <c r="J34" s="23">
        <f t="shared" si="2"/>
        <v>4437.8420000000006</v>
      </c>
      <c r="K34" s="23">
        <v>757</v>
      </c>
      <c r="L34" s="23">
        <v>11958</v>
      </c>
      <c r="M34" s="85">
        <v>9.9000000000000005E-2</v>
      </c>
      <c r="N34" s="20">
        <f t="shared" si="3"/>
        <v>1183.8420000000001</v>
      </c>
      <c r="O34" s="23">
        <v>433</v>
      </c>
      <c r="P34" s="23">
        <v>223</v>
      </c>
      <c r="Q34" s="23">
        <v>1197</v>
      </c>
      <c r="R34" s="23">
        <v>644</v>
      </c>
      <c r="S34" s="23">
        <v>1529</v>
      </c>
      <c r="T34" s="23">
        <f t="shared" si="4"/>
        <v>11408</v>
      </c>
      <c r="U34" s="23">
        <v>7989</v>
      </c>
      <c r="V34" s="23">
        <v>3419</v>
      </c>
      <c r="W34" s="23">
        <v>143999</v>
      </c>
      <c r="X34" s="23">
        <f t="shared" si="5"/>
        <v>-1762.8420000000042</v>
      </c>
      <c r="Y34" s="85">
        <f t="shared" si="6"/>
        <v>-1.2093988219495772E-2</v>
      </c>
    </row>
    <row r="35" spans="1:25" ht="12.75" customHeight="1">
      <c r="A35" s="58">
        <v>1988</v>
      </c>
      <c r="B35" s="23">
        <v>581698</v>
      </c>
      <c r="C35" s="23">
        <f t="shared" si="0"/>
        <v>156985.44</v>
      </c>
      <c r="D35" s="23">
        <f t="shared" si="1"/>
        <v>138367</v>
      </c>
      <c r="E35" s="23">
        <v>88965</v>
      </c>
      <c r="F35" s="23">
        <v>30995</v>
      </c>
      <c r="G35" s="23">
        <v>0</v>
      </c>
      <c r="H35" s="23">
        <v>8778</v>
      </c>
      <c r="I35" s="23">
        <v>9629</v>
      </c>
      <c r="J35" s="23">
        <f t="shared" si="2"/>
        <v>4896.4400000000005</v>
      </c>
      <c r="K35" s="23">
        <v>806</v>
      </c>
      <c r="L35" s="23">
        <v>13816</v>
      </c>
      <c r="M35" s="85">
        <v>0.09</v>
      </c>
      <c r="N35" s="20">
        <f t="shared" si="3"/>
        <v>1243.44</v>
      </c>
      <c r="O35" s="23">
        <v>459</v>
      </c>
      <c r="P35" s="23">
        <v>232</v>
      </c>
      <c r="Q35" s="23">
        <v>1272</v>
      </c>
      <c r="R35" s="23">
        <v>884</v>
      </c>
      <c r="S35" s="23">
        <v>1795</v>
      </c>
      <c r="T35" s="23">
        <f t="shared" si="4"/>
        <v>11927</v>
      </c>
      <c r="U35" s="23">
        <v>8618</v>
      </c>
      <c r="V35" s="23">
        <v>3309</v>
      </c>
      <c r="W35" s="23">
        <v>155332</v>
      </c>
      <c r="X35" s="23">
        <f t="shared" si="5"/>
        <v>-1653.4400000000023</v>
      </c>
      <c r="Y35" s="85">
        <f t="shared" si="6"/>
        <v>-1.0532441734723948E-2</v>
      </c>
    </row>
    <row r="36" spans="1:25" ht="12.75" customHeight="1">
      <c r="A36" s="58">
        <v>1989</v>
      </c>
      <c r="B36" s="23">
        <v>647465</v>
      </c>
      <c r="C36" s="23">
        <f t="shared" si="0"/>
        <v>175375.52</v>
      </c>
      <c r="D36" s="23">
        <f t="shared" si="1"/>
        <v>155620</v>
      </c>
      <c r="E36" s="23">
        <v>101137</v>
      </c>
      <c r="F36" s="23">
        <v>35077</v>
      </c>
      <c r="G36" s="23">
        <v>0</v>
      </c>
      <c r="H36" s="23">
        <v>9272</v>
      </c>
      <c r="I36" s="23">
        <v>10134</v>
      </c>
      <c r="J36" s="23">
        <f t="shared" si="2"/>
        <v>4782.5200000000004</v>
      </c>
      <c r="K36" s="23">
        <v>798</v>
      </c>
      <c r="L36" s="23">
        <v>15519</v>
      </c>
      <c r="M36" s="85">
        <v>0.08</v>
      </c>
      <c r="N36" s="20">
        <f t="shared" si="3"/>
        <v>1241.52</v>
      </c>
      <c r="O36" s="23">
        <v>476</v>
      </c>
      <c r="P36" s="23">
        <v>238</v>
      </c>
      <c r="Q36" s="23">
        <v>1331</v>
      </c>
      <c r="R36" s="23">
        <v>698</v>
      </c>
      <c r="S36" s="23">
        <v>2030</v>
      </c>
      <c r="T36" s="23">
        <f t="shared" si="4"/>
        <v>12943</v>
      </c>
      <c r="U36" s="23">
        <v>9314</v>
      </c>
      <c r="V36" s="23">
        <v>3629</v>
      </c>
      <c r="W36" s="23">
        <v>173757</v>
      </c>
      <c r="X36" s="23">
        <f t="shared" si="5"/>
        <v>-1618.5199999999895</v>
      </c>
      <c r="Y36" s="85">
        <f t="shared" si="6"/>
        <v>-9.2288821153601684E-3</v>
      </c>
    </row>
    <row r="37" spans="1:25" ht="18" customHeight="1">
      <c r="A37" s="58">
        <v>1990</v>
      </c>
      <c r="B37" s="23">
        <v>724278</v>
      </c>
      <c r="C37" s="23">
        <f t="shared" si="0"/>
        <v>196144.28</v>
      </c>
      <c r="D37" s="23">
        <f t="shared" si="1"/>
        <v>174174</v>
      </c>
      <c r="E37" s="23">
        <v>110182</v>
      </c>
      <c r="F37" s="23">
        <v>42607</v>
      </c>
      <c r="G37" s="23">
        <v>0</v>
      </c>
      <c r="H37" s="23">
        <v>10446</v>
      </c>
      <c r="I37" s="23">
        <v>10939</v>
      </c>
      <c r="J37" s="23">
        <f t="shared" si="2"/>
        <v>5980.28</v>
      </c>
      <c r="K37" s="23">
        <v>996</v>
      </c>
      <c r="L37" s="23">
        <v>17530</v>
      </c>
      <c r="M37" s="85">
        <v>7.5999999999999998E-2</v>
      </c>
      <c r="N37" s="20">
        <f t="shared" si="3"/>
        <v>1332.28</v>
      </c>
      <c r="O37" s="23">
        <v>478</v>
      </c>
      <c r="P37" s="23">
        <v>246</v>
      </c>
      <c r="Q37" s="23">
        <v>1556</v>
      </c>
      <c r="R37" s="23">
        <v>1372</v>
      </c>
      <c r="S37" s="23">
        <v>2262</v>
      </c>
      <c r="T37" s="23">
        <f t="shared" si="4"/>
        <v>13728</v>
      </c>
      <c r="U37" s="23">
        <v>9981</v>
      </c>
      <c r="V37" s="23">
        <v>3747</v>
      </c>
      <c r="W37" s="23">
        <v>193920</v>
      </c>
      <c r="X37" s="23">
        <f t="shared" si="5"/>
        <v>-2224.2799999999988</v>
      </c>
      <c r="Y37" s="85">
        <f t="shared" si="6"/>
        <v>-1.1340019703862884E-2</v>
      </c>
    </row>
    <row r="38" spans="1:25" ht="12.75" customHeight="1">
      <c r="A38" s="58">
        <v>1991</v>
      </c>
      <c r="B38" s="23">
        <v>791525</v>
      </c>
      <c r="C38" s="23">
        <f t="shared" si="0"/>
        <v>225540.01800000001</v>
      </c>
      <c r="D38" s="23">
        <f t="shared" si="1"/>
        <v>200852</v>
      </c>
      <c r="E38" s="23">
        <v>120617</v>
      </c>
      <c r="F38" s="23">
        <v>56847</v>
      </c>
      <c r="G38" s="23">
        <v>0</v>
      </c>
      <c r="H38" s="23">
        <v>11536</v>
      </c>
      <c r="I38" s="23">
        <v>11852</v>
      </c>
      <c r="J38" s="23">
        <f t="shared" si="2"/>
        <v>6834.018</v>
      </c>
      <c r="K38" s="23">
        <v>1213</v>
      </c>
      <c r="L38" s="23">
        <v>18958</v>
      </c>
      <c r="M38" s="85">
        <v>7.0999999999999994E-2</v>
      </c>
      <c r="N38" s="20">
        <f t="shared" si="3"/>
        <v>1346.0179999999998</v>
      </c>
      <c r="O38" s="23">
        <v>518</v>
      </c>
      <c r="P38" s="23">
        <v>257</v>
      </c>
      <c r="Q38" s="23">
        <v>1844</v>
      </c>
      <c r="R38" s="23">
        <v>1656</v>
      </c>
      <c r="S38" s="23">
        <v>2605</v>
      </c>
      <c r="T38" s="23">
        <f t="shared" si="4"/>
        <v>15249</v>
      </c>
      <c r="U38" s="23">
        <v>10854</v>
      </c>
      <c r="V38" s="23">
        <v>4395</v>
      </c>
      <c r="W38" s="23">
        <v>223436</v>
      </c>
      <c r="X38" s="23">
        <f t="shared" si="5"/>
        <v>-2104.0180000000109</v>
      </c>
      <c r="Y38" s="85">
        <f t="shared" si="6"/>
        <v>-9.3288012418266762E-3</v>
      </c>
    </row>
    <row r="39" spans="1:25" ht="12.75" customHeight="1">
      <c r="A39" s="58">
        <v>1992</v>
      </c>
      <c r="B39" s="23">
        <v>857910</v>
      </c>
      <c r="C39" s="23">
        <f t="shared" si="0"/>
        <v>255424.1</v>
      </c>
      <c r="D39" s="23">
        <f t="shared" si="1"/>
        <v>228813</v>
      </c>
      <c r="E39" s="23">
        <v>135996</v>
      </c>
      <c r="F39" s="23">
        <v>68602</v>
      </c>
      <c r="G39" s="23">
        <v>0</v>
      </c>
      <c r="H39" s="23">
        <v>11621</v>
      </c>
      <c r="I39" s="23">
        <v>12594</v>
      </c>
      <c r="J39" s="23">
        <f t="shared" si="2"/>
        <v>7506.1</v>
      </c>
      <c r="K39" s="23">
        <v>1444</v>
      </c>
      <c r="L39" s="23">
        <v>21100</v>
      </c>
      <c r="M39" s="85">
        <v>7.0999999999999994E-2</v>
      </c>
      <c r="N39" s="20">
        <f t="shared" si="3"/>
        <v>1498.1</v>
      </c>
      <c r="O39" s="23">
        <v>565</v>
      </c>
      <c r="P39" s="23">
        <v>264</v>
      </c>
      <c r="Q39" s="23">
        <v>2050</v>
      </c>
      <c r="R39" s="23">
        <v>1685</v>
      </c>
      <c r="S39" s="23">
        <v>2912</v>
      </c>
      <c r="T39" s="23">
        <f t="shared" si="4"/>
        <v>16193</v>
      </c>
      <c r="U39" s="23">
        <v>11902</v>
      </c>
      <c r="V39" s="23">
        <v>4291</v>
      </c>
      <c r="W39" s="23">
        <v>253048</v>
      </c>
      <c r="X39" s="23">
        <f t="shared" si="5"/>
        <v>-2376.1000000000058</v>
      </c>
      <c r="Y39" s="85">
        <f t="shared" si="6"/>
        <v>-9.3025677686639826E-3</v>
      </c>
    </row>
    <row r="40" spans="1:25" ht="12.75" customHeight="1">
      <c r="A40" s="58">
        <v>1993</v>
      </c>
      <c r="B40" s="23">
        <v>921492</v>
      </c>
      <c r="C40" s="23">
        <f t="shared" ref="C40:C49" si="7">D40+J40+S50+T40</f>
        <v>287494.91800000001</v>
      </c>
      <c r="D40" s="23">
        <f t="shared" si="1"/>
        <v>252572</v>
      </c>
      <c r="E40" s="23">
        <v>149965</v>
      </c>
      <c r="F40" s="23">
        <v>76961</v>
      </c>
      <c r="G40" s="23">
        <v>0</v>
      </c>
      <c r="H40" s="23">
        <v>12025</v>
      </c>
      <c r="I40" s="23">
        <v>13621</v>
      </c>
      <c r="J40" s="23">
        <f t="shared" si="2"/>
        <v>7969.9179999999997</v>
      </c>
      <c r="K40" s="23">
        <v>1487</v>
      </c>
      <c r="L40" s="23">
        <v>22607</v>
      </c>
      <c r="M40" s="85">
        <v>7.3999999999999996E-2</v>
      </c>
      <c r="N40" s="20">
        <f t="shared" si="3"/>
        <v>1672.9179999999999</v>
      </c>
      <c r="O40" s="23">
        <v>578</v>
      </c>
      <c r="P40" s="23">
        <v>253</v>
      </c>
      <c r="Q40" s="23">
        <v>2265</v>
      </c>
      <c r="R40" s="23">
        <v>1714</v>
      </c>
      <c r="S40" s="23">
        <v>3164</v>
      </c>
      <c r="T40" s="23">
        <f t="shared" si="4"/>
        <v>18060</v>
      </c>
      <c r="U40" s="23">
        <v>13125</v>
      </c>
      <c r="V40" s="23">
        <v>4935</v>
      </c>
      <c r="W40" s="23">
        <v>279399</v>
      </c>
      <c r="X40" s="23">
        <f t="shared" si="5"/>
        <v>-8095.9180000000051</v>
      </c>
      <c r="Y40" s="85">
        <f t="shared" si="6"/>
        <v>-2.8160212557218157E-2</v>
      </c>
    </row>
    <row r="41" spans="1:25" ht="12.75" customHeight="1">
      <c r="A41" s="58">
        <v>1994</v>
      </c>
      <c r="B41" s="23">
        <v>972687</v>
      </c>
      <c r="C41" s="23">
        <f t="shared" si="7"/>
        <v>311647.79700000002</v>
      </c>
      <c r="D41" s="23">
        <f t="shared" si="1"/>
        <v>275167</v>
      </c>
      <c r="E41" s="23">
        <v>167670</v>
      </c>
      <c r="F41" s="23">
        <v>81052</v>
      </c>
      <c r="G41" s="23">
        <v>0</v>
      </c>
      <c r="H41" s="23">
        <v>11833</v>
      </c>
      <c r="I41" s="23">
        <v>14612</v>
      </c>
      <c r="J41" s="23">
        <f t="shared" si="2"/>
        <v>8352.7969999999987</v>
      </c>
      <c r="K41" s="23">
        <v>1507</v>
      </c>
      <c r="L41" s="23">
        <v>22189</v>
      </c>
      <c r="M41" s="85">
        <v>7.2999999999999995E-2</v>
      </c>
      <c r="N41" s="20">
        <f t="shared" si="3"/>
        <v>1619.7969999999998</v>
      </c>
      <c r="O41" s="23">
        <v>594</v>
      </c>
      <c r="P41" s="23">
        <v>271</v>
      </c>
      <c r="Q41" s="23">
        <v>2472</v>
      </c>
      <c r="R41" s="23">
        <v>1889</v>
      </c>
      <c r="S41" s="23">
        <v>3626</v>
      </c>
      <c r="T41" s="23">
        <f t="shared" si="4"/>
        <v>19186</v>
      </c>
      <c r="U41" s="23">
        <v>14149</v>
      </c>
      <c r="V41" s="23">
        <v>5037</v>
      </c>
      <c r="W41" s="23">
        <v>304378</v>
      </c>
      <c r="X41" s="23">
        <f t="shared" si="5"/>
        <v>-7269.7970000000205</v>
      </c>
      <c r="Y41" s="85">
        <f t="shared" si="6"/>
        <v>-2.3326964188359143E-2</v>
      </c>
    </row>
    <row r="42" spans="1:25" ht="12.75" customHeight="1">
      <c r="A42" s="58">
        <v>1995</v>
      </c>
      <c r="B42" s="23">
        <v>1027432</v>
      </c>
      <c r="C42" s="23">
        <f t="shared" si="7"/>
        <v>334936.636</v>
      </c>
      <c r="D42" s="23">
        <f t="shared" si="1"/>
        <v>297224</v>
      </c>
      <c r="E42" s="23">
        <v>184393</v>
      </c>
      <c r="F42" s="23">
        <v>85946</v>
      </c>
      <c r="G42" s="23">
        <v>0</v>
      </c>
      <c r="H42" s="23">
        <v>12045</v>
      </c>
      <c r="I42" s="23">
        <v>14840</v>
      </c>
      <c r="J42" s="23">
        <f t="shared" si="2"/>
        <v>8752.6360000000004</v>
      </c>
      <c r="K42" s="23">
        <v>1654</v>
      </c>
      <c r="L42" s="23">
        <v>21914</v>
      </c>
      <c r="M42" s="85">
        <v>7.3999999999999996E-2</v>
      </c>
      <c r="N42" s="20">
        <f t="shared" si="3"/>
        <v>1621.636</v>
      </c>
      <c r="O42" s="23">
        <v>587</v>
      </c>
      <c r="P42" s="23">
        <v>271</v>
      </c>
      <c r="Q42" s="23">
        <v>2552</v>
      </c>
      <c r="R42" s="23">
        <v>2067</v>
      </c>
      <c r="S42" s="23">
        <v>3655</v>
      </c>
      <c r="T42" s="23">
        <f t="shared" si="4"/>
        <v>19831</v>
      </c>
      <c r="U42" s="23">
        <v>14733</v>
      </c>
      <c r="V42" s="23">
        <v>5098</v>
      </c>
      <c r="W42" s="23">
        <v>327770</v>
      </c>
      <c r="X42" s="23">
        <f t="shared" si="5"/>
        <v>-7166.6359999999986</v>
      </c>
      <c r="Y42" s="85">
        <f t="shared" si="6"/>
        <v>-2.1396990444485144E-2</v>
      </c>
    </row>
    <row r="43" spans="1:25" ht="12.75" customHeight="1">
      <c r="A43" s="58">
        <v>1996</v>
      </c>
      <c r="B43" s="23">
        <v>1081849</v>
      </c>
      <c r="C43" s="23">
        <f t="shared" si="7"/>
        <v>354976.65</v>
      </c>
      <c r="D43" s="23">
        <f t="shared" si="1"/>
        <v>317369</v>
      </c>
      <c r="E43" s="23">
        <v>198750</v>
      </c>
      <c r="F43" s="23">
        <v>91099</v>
      </c>
      <c r="G43" s="23">
        <v>0</v>
      </c>
      <c r="H43" s="23">
        <v>11953</v>
      </c>
      <c r="I43" s="23">
        <v>15567</v>
      </c>
      <c r="J43" s="23">
        <f t="shared" si="2"/>
        <v>8709.65</v>
      </c>
      <c r="K43" s="23">
        <v>1633</v>
      </c>
      <c r="L43" s="23">
        <v>22050</v>
      </c>
      <c r="M43" s="85">
        <v>7.2999999999999995E-2</v>
      </c>
      <c r="N43" s="20">
        <f t="shared" si="3"/>
        <v>1609.6499999999999</v>
      </c>
      <c r="O43" s="23">
        <v>580</v>
      </c>
      <c r="P43" s="23">
        <v>263</v>
      </c>
      <c r="Q43" s="23">
        <v>2841</v>
      </c>
      <c r="R43" s="23">
        <v>1783</v>
      </c>
      <c r="S43" s="23">
        <v>3755</v>
      </c>
      <c r="T43" s="23">
        <f t="shared" si="4"/>
        <v>19417</v>
      </c>
      <c r="U43" s="23">
        <v>13554</v>
      </c>
      <c r="V43" s="23">
        <v>5863</v>
      </c>
      <c r="W43" s="23">
        <v>348289</v>
      </c>
      <c r="X43" s="23">
        <f t="shared" si="5"/>
        <v>-6687.6500000000233</v>
      </c>
      <c r="Y43" s="85">
        <f t="shared" si="6"/>
        <v>-1.8839689878193462E-2</v>
      </c>
    </row>
    <row r="44" spans="1:25" ht="12.75" customHeight="1">
      <c r="A44" s="58">
        <v>1997</v>
      </c>
      <c r="B44" s="23">
        <v>1142621</v>
      </c>
      <c r="C44" s="23">
        <f t="shared" si="7"/>
        <v>371479.24</v>
      </c>
      <c r="D44" s="23">
        <f t="shared" si="1"/>
        <v>332870</v>
      </c>
      <c r="E44" s="23">
        <v>210376</v>
      </c>
      <c r="F44" s="23">
        <v>94954</v>
      </c>
      <c r="G44" s="23">
        <v>0</v>
      </c>
      <c r="H44" s="23">
        <v>12052</v>
      </c>
      <c r="I44" s="23">
        <v>15488</v>
      </c>
      <c r="J44" s="23">
        <f t="shared" si="2"/>
        <v>8677.24</v>
      </c>
      <c r="K44" s="23">
        <v>1740</v>
      </c>
      <c r="L44" s="23">
        <v>22140</v>
      </c>
      <c r="M44" s="85">
        <v>6.6000000000000003E-2</v>
      </c>
      <c r="N44" s="20">
        <f t="shared" si="3"/>
        <v>1461.24</v>
      </c>
      <c r="O44" s="23">
        <v>582</v>
      </c>
      <c r="P44" s="23">
        <v>276</v>
      </c>
      <c r="Q44" s="23">
        <v>3118</v>
      </c>
      <c r="R44" s="23">
        <v>1500</v>
      </c>
      <c r="S44" s="23">
        <v>3926</v>
      </c>
      <c r="T44" s="23">
        <f t="shared" si="4"/>
        <v>20280</v>
      </c>
      <c r="U44" s="23">
        <v>15037</v>
      </c>
      <c r="V44" s="23">
        <v>5243</v>
      </c>
      <c r="W44" s="23">
        <v>365324</v>
      </c>
      <c r="X44" s="23">
        <f t="shared" si="5"/>
        <v>-6155.2399999999907</v>
      </c>
      <c r="Y44" s="85">
        <f t="shared" si="6"/>
        <v>-1.6569539659874375E-2</v>
      </c>
    </row>
    <row r="45" spans="1:25" ht="12.75" customHeight="1">
      <c r="A45" s="58">
        <v>1998</v>
      </c>
      <c r="B45" s="23">
        <v>1208933</v>
      </c>
      <c r="C45" s="23">
        <f t="shared" si="7"/>
        <v>378624.66</v>
      </c>
      <c r="D45" s="23">
        <f t="shared" si="1"/>
        <v>336904</v>
      </c>
      <c r="E45" s="23">
        <v>209420</v>
      </c>
      <c r="F45" s="23">
        <v>98661</v>
      </c>
      <c r="G45" s="23">
        <v>276</v>
      </c>
      <c r="H45" s="23">
        <v>12214</v>
      </c>
      <c r="I45" s="23">
        <v>16333</v>
      </c>
      <c r="J45" s="23">
        <f t="shared" si="2"/>
        <v>9502.66</v>
      </c>
      <c r="K45" s="23">
        <v>1754</v>
      </c>
      <c r="L45" s="23">
        <v>22364</v>
      </c>
      <c r="M45" s="85">
        <v>6.5000000000000002E-2</v>
      </c>
      <c r="N45" s="20">
        <f t="shared" si="3"/>
        <v>1453.66</v>
      </c>
      <c r="O45" s="23">
        <v>588</v>
      </c>
      <c r="P45" s="23">
        <v>286</v>
      </c>
      <c r="Q45" s="23">
        <v>3395</v>
      </c>
      <c r="R45" s="23">
        <v>2026</v>
      </c>
      <c r="S45" s="23">
        <v>4063</v>
      </c>
      <c r="T45" s="23">
        <f t="shared" si="4"/>
        <v>22395</v>
      </c>
      <c r="U45" s="23">
        <v>16616</v>
      </c>
      <c r="V45" s="23">
        <v>5779</v>
      </c>
      <c r="W45" s="23">
        <v>372277</v>
      </c>
      <c r="X45" s="23">
        <f t="shared" si="5"/>
        <v>-6347.6599999999744</v>
      </c>
      <c r="Y45" s="85">
        <f t="shared" si="6"/>
        <v>-1.6765046418265452E-2</v>
      </c>
    </row>
    <row r="46" spans="1:25" ht="12.75" customHeight="1">
      <c r="A46" s="58">
        <v>1999</v>
      </c>
      <c r="B46" s="23">
        <v>1286456</v>
      </c>
      <c r="C46" s="23">
        <f t="shared" si="7"/>
        <v>398319.72200000001</v>
      </c>
      <c r="D46" s="23">
        <f t="shared" si="1"/>
        <v>351760</v>
      </c>
      <c r="E46" s="23">
        <v>213173</v>
      </c>
      <c r="F46" s="23">
        <v>107200</v>
      </c>
      <c r="G46" s="23">
        <v>1199</v>
      </c>
      <c r="H46" s="23">
        <v>12679</v>
      </c>
      <c r="I46" s="23">
        <v>17509</v>
      </c>
      <c r="J46" s="23">
        <f t="shared" si="2"/>
        <v>10453.722</v>
      </c>
      <c r="K46" s="23">
        <v>1837</v>
      </c>
      <c r="L46" s="23">
        <v>23931</v>
      </c>
      <c r="M46" s="85">
        <v>6.2E-2</v>
      </c>
      <c r="N46" s="20">
        <f t="shared" si="3"/>
        <v>1483.722</v>
      </c>
      <c r="O46" s="23">
        <v>603</v>
      </c>
      <c r="P46" s="23">
        <v>293</v>
      </c>
      <c r="Q46" s="23">
        <v>3842</v>
      </c>
      <c r="R46" s="23">
        <v>2395</v>
      </c>
      <c r="S46" s="23">
        <v>4544</v>
      </c>
      <c r="T46" s="23">
        <f t="shared" si="4"/>
        <v>24184</v>
      </c>
      <c r="U46" s="23">
        <v>18124</v>
      </c>
      <c r="V46" s="23">
        <v>6060</v>
      </c>
      <c r="W46" s="23">
        <v>389879</v>
      </c>
      <c r="X46" s="23">
        <f t="shared" si="5"/>
        <v>-8440.7220000000088</v>
      </c>
      <c r="Y46" s="85">
        <f t="shared" si="6"/>
        <v>-2.1190821176562302E-2</v>
      </c>
    </row>
    <row r="47" spans="1:25" ht="18" customHeight="1">
      <c r="A47" s="58">
        <v>2000</v>
      </c>
      <c r="B47" s="23">
        <v>1377178</v>
      </c>
      <c r="C47" s="23">
        <f t="shared" si="7"/>
        <v>427705.27600000001</v>
      </c>
      <c r="D47" s="23">
        <f t="shared" si="1"/>
        <v>376680</v>
      </c>
      <c r="E47" s="23">
        <v>224829</v>
      </c>
      <c r="F47" s="23">
        <v>116919</v>
      </c>
      <c r="G47" s="23">
        <v>2097</v>
      </c>
      <c r="H47" s="23">
        <v>13753</v>
      </c>
      <c r="I47" s="23">
        <v>19082</v>
      </c>
      <c r="J47" s="23">
        <f t="shared" si="2"/>
        <v>11584.276</v>
      </c>
      <c r="K47" s="23">
        <v>1982</v>
      </c>
      <c r="L47" s="23">
        <v>26198</v>
      </c>
      <c r="M47" s="85">
        <v>6.2E-2</v>
      </c>
      <c r="N47" s="20">
        <f t="shared" si="3"/>
        <v>1624.2760000000001</v>
      </c>
      <c r="O47" s="23">
        <v>609</v>
      </c>
      <c r="P47" s="23">
        <v>317</v>
      </c>
      <c r="Q47" s="23">
        <v>4488</v>
      </c>
      <c r="R47" s="23">
        <v>2564</v>
      </c>
      <c r="S47" s="23">
        <v>4876</v>
      </c>
      <c r="T47" s="23">
        <f t="shared" si="4"/>
        <v>25547</v>
      </c>
      <c r="U47" s="23">
        <v>19695</v>
      </c>
      <c r="V47" s="23">
        <v>5852</v>
      </c>
      <c r="W47" s="23">
        <v>417568</v>
      </c>
      <c r="X47" s="23">
        <f t="shared" si="5"/>
        <v>-10137.276000000013</v>
      </c>
      <c r="Y47" s="85">
        <f t="shared" si="6"/>
        <v>-2.3701545360408444E-2</v>
      </c>
    </row>
    <row r="48" spans="1:25" ht="12.75" customHeight="1">
      <c r="A48" s="58">
        <v>2001</v>
      </c>
      <c r="B48" s="23">
        <v>1493347</v>
      </c>
      <c r="C48" s="23">
        <f t="shared" si="7"/>
        <v>471036.32</v>
      </c>
      <c r="D48" s="23">
        <f t="shared" si="1"/>
        <v>419472</v>
      </c>
      <c r="E48" s="23">
        <v>247686</v>
      </c>
      <c r="F48" s="23">
        <v>132288</v>
      </c>
      <c r="G48" s="23">
        <v>2913</v>
      </c>
      <c r="H48" s="23">
        <v>15502</v>
      </c>
      <c r="I48" s="23">
        <v>21083</v>
      </c>
      <c r="J48" s="23">
        <f t="shared" si="2"/>
        <v>13058.32</v>
      </c>
      <c r="K48" s="23">
        <v>2201</v>
      </c>
      <c r="L48" s="23">
        <v>29722</v>
      </c>
      <c r="M48" s="85">
        <v>0.06</v>
      </c>
      <c r="N48" s="20">
        <f t="shared" si="3"/>
        <v>1783.32</v>
      </c>
      <c r="O48" s="23">
        <v>619</v>
      </c>
      <c r="P48" s="23">
        <v>342</v>
      </c>
      <c r="Q48" s="23">
        <v>5301</v>
      </c>
      <c r="R48" s="23">
        <v>2812</v>
      </c>
      <c r="S48" s="23">
        <v>5775</v>
      </c>
      <c r="T48" s="23">
        <f t="shared" si="4"/>
        <v>28172</v>
      </c>
      <c r="U48" s="23">
        <v>22437</v>
      </c>
      <c r="V48" s="23">
        <v>5735</v>
      </c>
      <c r="W48" s="23">
        <v>464856</v>
      </c>
      <c r="X48" s="23">
        <f t="shared" si="5"/>
        <v>-6180.320000000007</v>
      </c>
      <c r="Y48" s="85">
        <f t="shared" si="6"/>
        <v>-1.312068674449564E-2</v>
      </c>
    </row>
    <row r="49" spans="1:33" ht="12.75" customHeight="1">
      <c r="A49" s="58">
        <v>2002</v>
      </c>
      <c r="B49" s="23">
        <v>1637956</v>
      </c>
      <c r="C49" s="23">
        <f t="shared" si="7"/>
        <v>501644.24</v>
      </c>
      <c r="D49" s="23">
        <f t="shared" si="1"/>
        <v>456361</v>
      </c>
      <c r="E49" s="23">
        <v>265381</v>
      </c>
      <c r="F49" s="23">
        <v>145339</v>
      </c>
      <c r="G49" s="23">
        <v>3832</v>
      </c>
      <c r="H49" s="23">
        <v>19027</v>
      </c>
      <c r="I49" s="23">
        <v>22782</v>
      </c>
      <c r="J49" s="23">
        <f t="shared" si="2"/>
        <v>13892.24</v>
      </c>
      <c r="K49" s="23">
        <v>2196</v>
      </c>
      <c r="L49" s="23">
        <v>33404</v>
      </c>
      <c r="M49" s="85">
        <v>0.06</v>
      </c>
      <c r="N49" s="20">
        <f t="shared" si="3"/>
        <v>2004.24</v>
      </c>
      <c r="O49" s="23">
        <v>636</v>
      </c>
      <c r="P49" s="23">
        <v>355</v>
      </c>
      <c r="Q49" s="23">
        <v>5695</v>
      </c>
      <c r="R49" s="23">
        <v>3006</v>
      </c>
      <c r="S49" s="23">
        <v>8013</v>
      </c>
      <c r="T49" s="23">
        <f t="shared" si="4"/>
        <v>31391</v>
      </c>
      <c r="U49" s="23">
        <v>25569</v>
      </c>
      <c r="V49" s="23">
        <v>5822</v>
      </c>
      <c r="W49" s="23">
        <v>509092</v>
      </c>
      <c r="X49" s="23">
        <f t="shared" si="5"/>
        <v>7447.7600000000093</v>
      </c>
      <c r="Y49" s="85">
        <f t="shared" si="6"/>
        <v>1.484669693406628E-2</v>
      </c>
    </row>
    <row r="50" spans="1:33" ht="12.75" customHeight="1">
      <c r="A50" s="58">
        <v>2003</v>
      </c>
      <c r="B50" s="23">
        <v>1775439</v>
      </c>
      <c r="C50" s="23">
        <f t="shared" si="0"/>
        <v>554858.5</v>
      </c>
      <c r="D50" s="23">
        <f t="shared" si="1"/>
        <v>496921</v>
      </c>
      <c r="E50" s="23">
        <v>282697</v>
      </c>
      <c r="F50" s="23">
        <v>160895</v>
      </c>
      <c r="G50" s="23">
        <v>4410</v>
      </c>
      <c r="H50" s="23">
        <v>22402</v>
      </c>
      <c r="I50" s="23">
        <v>26517</v>
      </c>
      <c r="J50" s="23">
        <f t="shared" si="2"/>
        <v>14621.5</v>
      </c>
      <c r="K50" s="23">
        <v>2333</v>
      </c>
      <c r="L50" s="23">
        <v>37750</v>
      </c>
      <c r="M50" s="85">
        <v>5.8000000000000003E-2</v>
      </c>
      <c r="N50" s="20">
        <f t="shared" si="3"/>
        <v>2189.5</v>
      </c>
      <c r="O50" s="23">
        <v>634</v>
      </c>
      <c r="P50" s="23">
        <v>359</v>
      </c>
      <c r="Q50" s="23">
        <v>6013</v>
      </c>
      <c r="R50" s="23">
        <v>3093</v>
      </c>
      <c r="S50" s="23">
        <v>8893</v>
      </c>
      <c r="T50" s="23">
        <f t="shared" si="4"/>
        <v>34423</v>
      </c>
      <c r="U50" s="23">
        <v>27905</v>
      </c>
      <c r="V50" s="23">
        <v>6518</v>
      </c>
      <c r="W50" s="23">
        <v>552040</v>
      </c>
      <c r="X50" s="23">
        <f t="shared" si="5"/>
        <v>-2818.5</v>
      </c>
      <c r="Y50" s="85">
        <f t="shared" si="6"/>
        <v>-5.079673466298164E-3</v>
      </c>
    </row>
    <row r="51" spans="1:33" ht="12.75" customHeight="1">
      <c r="A51" s="58">
        <v>2004</v>
      </c>
      <c r="B51" s="23">
        <v>1901599</v>
      </c>
      <c r="C51" s="23">
        <f t="shared" si="0"/>
        <v>602532.95600000001</v>
      </c>
      <c r="D51" s="23">
        <f t="shared" si="1"/>
        <v>541745</v>
      </c>
      <c r="E51" s="23">
        <v>311162</v>
      </c>
      <c r="F51" s="23">
        <v>172437</v>
      </c>
      <c r="G51" s="23">
        <v>4982</v>
      </c>
      <c r="H51" s="23">
        <v>25213</v>
      </c>
      <c r="I51" s="23">
        <v>27951</v>
      </c>
      <c r="J51" s="23">
        <f t="shared" si="2"/>
        <v>15112.956</v>
      </c>
      <c r="K51" s="23">
        <v>2458</v>
      </c>
      <c r="L51" s="23">
        <v>38982</v>
      </c>
      <c r="M51" s="85">
        <v>5.8000000000000003E-2</v>
      </c>
      <c r="N51" s="20">
        <f t="shared" si="3"/>
        <v>2260.9560000000001</v>
      </c>
      <c r="O51" s="23">
        <v>635</v>
      </c>
      <c r="P51" s="23">
        <v>361</v>
      </c>
      <c r="Q51" s="23">
        <v>6273</v>
      </c>
      <c r="R51" s="23">
        <v>3125</v>
      </c>
      <c r="S51" s="23">
        <v>8942</v>
      </c>
      <c r="T51" s="23">
        <f t="shared" si="4"/>
        <v>36733</v>
      </c>
      <c r="U51" s="23">
        <v>31001</v>
      </c>
      <c r="V51" s="23">
        <v>5732</v>
      </c>
      <c r="W51" s="23">
        <v>599758</v>
      </c>
      <c r="X51" s="23">
        <f t="shared" si="5"/>
        <v>-2774.9560000000056</v>
      </c>
      <c r="Y51" s="85">
        <f t="shared" si="6"/>
        <v>-4.6054841853331013E-3</v>
      </c>
    </row>
    <row r="52" spans="1:33" ht="12.75" customHeight="1">
      <c r="A52" s="58">
        <v>2005</v>
      </c>
      <c r="B52" s="23">
        <v>2030497</v>
      </c>
      <c r="C52" s="23">
        <f t="shared" si="0"/>
        <v>642629.99100000004</v>
      </c>
      <c r="D52" s="23">
        <f t="shared" si="1"/>
        <v>579260</v>
      </c>
      <c r="E52" s="23">
        <v>339801</v>
      </c>
      <c r="F52" s="23">
        <v>177644</v>
      </c>
      <c r="G52" s="23">
        <v>5253</v>
      </c>
      <c r="H52" s="23">
        <v>26759</v>
      </c>
      <c r="I52" s="23">
        <v>29803</v>
      </c>
      <c r="J52" s="23">
        <f t="shared" si="2"/>
        <v>15384.991</v>
      </c>
      <c r="K52" s="23">
        <v>2488</v>
      </c>
      <c r="L52" s="23">
        <v>41263</v>
      </c>
      <c r="M52" s="85">
        <v>5.7000000000000002E-2</v>
      </c>
      <c r="N52" s="20">
        <f t="shared" si="3"/>
        <v>2351.991</v>
      </c>
      <c r="O52" s="23">
        <v>622</v>
      </c>
      <c r="P52" s="23">
        <v>355</v>
      </c>
      <c r="Q52" s="23">
        <v>6349</v>
      </c>
      <c r="R52" s="23">
        <v>3219</v>
      </c>
      <c r="S52" s="23">
        <v>9129</v>
      </c>
      <c r="T52" s="23">
        <f t="shared" si="4"/>
        <v>38856</v>
      </c>
      <c r="U52" s="23">
        <v>32389</v>
      </c>
      <c r="V52" s="23">
        <v>6467</v>
      </c>
      <c r="W52" s="23">
        <v>641378</v>
      </c>
      <c r="X52" s="23">
        <f t="shared" si="5"/>
        <v>-1251.9910000000382</v>
      </c>
      <c r="Y52" s="85">
        <f t="shared" si="6"/>
        <v>-1.9482299574157878E-3</v>
      </c>
    </row>
    <row r="53" spans="1:33" ht="12.75" customHeight="1">
      <c r="A53" s="58">
        <v>2006</v>
      </c>
      <c r="B53" s="23">
        <v>2163293</v>
      </c>
      <c r="C53" s="23">
        <f t="shared" si="0"/>
        <v>709214.82</v>
      </c>
      <c r="D53" s="23">
        <f t="shared" si="1"/>
        <v>645074</v>
      </c>
      <c r="E53" s="23">
        <v>403728</v>
      </c>
      <c r="F53" s="23">
        <v>174074</v>
      </c>
      <c r="G53" s="23">
        <v>5756</v>
      </c>
      <c r="H53" s="23">
        <v>29655</v>
      </c>
      <c r="I53" s="23">
        <v>31861</v>
      </c>
      <c r="J53" s="23">
        <f t="shared" si="2"/>
        <v>15598.82</v>
      </c>
      <c r="K53" s="23">
        <v>2591</v>
      </c>
      <c r="L53" s="23">
        <v>41397</v>
      </c>
      <c r="M53" s="85">
        <v>0.06</v>
      </c>
      <c r="N53" s="20">
        <f t="shared" si="3"/>
        <v>2483.8199999999997</v>
      </c>
      <c r="O53" s="23">
        <v>598</v>
      </c>
      <c r="P53" s="23">
        <v>377</v>
      </c>
      <c r="Q53" s="23">
        <v>6396</v>
      </c>
      <c r="R53" s="23">
        <v>3153</v>
      </c>
      <c r="S53" s="23">
        <v>9481</v>
      </c>
      <c r="T53" s="23">
        <f t="shared" si="4"/>
        <v>39061</v>
      </c>
      <c r="U53" s="23">
        <v>33046</v>
      </c>
      <c r="V53" s="23">
        <v>6015</v>
      </c>
      <c r="W53" s="23">
        <v>709582</v>
      </c>
      <c r="X53" s="23">
        <f t="shared" si="5"/>
        <v>367.18000000005122</v>
      </c>
      <c r="Y53" s="85">
        <f t="shared" si="6"/>
        <v>5.1772747783252924E-4</v>
      </c>
    </row>
    <row r="54" spans="1:33" ht="12.75" customHeight="1">
      <c r="A54" s="58">
        <v>2007</v>
      </c>
      <c r="B54" s="23">
        <v>2298269</v>
      </c>
      <c r="C54" s="23">
        <f t="shared" si="0"/>
        <v>756889.22</v>
      </c>
      <c r="D54" s="23">
        <f t="shared" si="1"/>
        <v>691756</v>
      </c>
      <c r="E54" s="23">
        <v>433554</v>
      </c>
      <c r="F54" s="23">
        <v>185751</v>
      </c>
      <c r="G54" s="23">
        <v>6317</v>
      </c>
      <c r="H54" s="23">
        <v>32286</v>
      </c>
      <c r="I54" s="23">
        <v>33848</v>
      </c>
      <c r="J54" s="23">
        <f t="shared" si="2"/>
        <v>15978.22</v>
      </c>
      <c r="K54" s="23">
        <v>2686</v>
      </c>
      <c r="L54" s="23">
        <v>40487</v>
      </c>
      <c r="M54" s="85">
        <v>0.06</v>
      </c>
      <c r="N54" s="20">
        <f t="shared" si="3"/>
        <v>2429.2199999999998</v>
      </c>
      <c r="O54" s="23">
        <v>600</v>
      </c>
      <c r="P54" s="23">
        <v>373</v>
      </c>
      <c r="Q54" s="23">
        <v>6723</v>
      </c>
      <c r="R54" s="23">
        <v>3167</v>
      </c>
      <c r="S54" s="23">
        <v>9652</v>
      </c>
      <c r="T54" s="23">
        <f t="shared" si="4"/>
        <v>39503</v>
      </c>
      <c r="U54" s="23">
        <v>33015</v>
      </c>
      <c r="V54" s="23">
        <v>6488</v>
      </c>
      <c r="W54" s="23">
        <v>755291</v>
      </c>
      <c r="X54" s="23">
        <f t="shared" si="5"/>
        <v>-1598.2199999999721</v>
      </c>
      <c r="Y54" s="85">
        <f t="shared" si="6"/>
        <v>-2.1115639617644072E-3</v>
      </c>
    </row>
    <row r="55" spans="1:33" ht="12.75" customHeight="1">
      <c r="A55" s="58">
        <v>2008</v>
      </c>
      <c r="B55" s="23">
        <v>2406644</v>
      </c>
      <c r="C55" s="23">
        <f t="shared" si="0"/>
        <v>818868.46200000006</v>
      </c>
      <c r="D55" s="23">
        <f t="shared" si="1"/>
        <v>751240</v>
      </c>
      <c r="E55" s="23">
        <v>468238</v>
      </c>
      <c r="F55" s="23">
        <v>203526</v>
      </c>
      <c r="G55" s="23">
        <v>7126</v>
      </c>
      <c r="H55" s="23">
        <v>33997</v>
      </c>
      <c r="I55" s="23">
        <v>38353</v>
      </c>
      <c r="J55" s="23">
        <f t="shared" si="2"/>
        <v>16251.462</v>
      </c>
      <c r="K55" s="23">
        <v>2822</v>
      </c>
      <c r="L55" s="23">
        <v>39618</v>
      </c>
      <c r="M55" s="85">
        <v>5.8999999999999997E-2</v>
      </c>
      <c r="N55" s="20">
        <f t="shared" si="3"/>
        <v>2337.462</v>
      </c>
      <c r="O55" s="23">
        <v>594</v>
      </c>
      <c r="P55" s="23">
        <v>374</v>
      </c>
      <c r="Q55" s="23">
        <v>6918</v>
      </c>
      <c r="R55" s="23">
        <v>3206</v>
      </c>
      <c r="S55" s="23">
        <v>9823</v>
      </c>
      <c r="T55" s="23">
        <f t="shared" si="4"/>
        <v>41554</v>
      </c>
      <c r="U55" s="23">
        <v>33796</v>
      </c>
      <c r="V55" s="23">
        <v>7758</v>
      </c>
      <c r="W55" s="23">
        <v>816935</v>
      </c>
      <c r="X55" s="23">
        <f t="shared" si="5"/>
        <v>-1933.4620000000577</v>
      </c>
      <c r="Y55" s="85">
        <f t="shared" si="6"/>
        <v>-2.361138680659138E-3</v>
      </c>
    </row>
    <row r="56" spans="1:33" ht="12.75" customHeight="1">
      <c r="A56" s="58">
        <v>2009</v>
      </c>
      <c r="B56" s="23">
        <v>2501171</v>
      </c>
      <c r="C56" s="23">
        <f t="shared" si="0"/>
        <v>908610.50699999998</v>
      </c>
      <c r="D56" s="23">
        <f t="shared" si="1"/>
        <v>835483</v>
      </c>
      <c r="E56" s="23">
        <v>500427</v>
      </c>
      <c r="F56" s="23">
        <v>248109</v>
      </c>
      <c r="G56" s="23">
        <v>7812</v>
      </c>
      <c r="H56" s="23">
        <v>36739</v>
      </c>
      <c r="I56" s="23">
        <v>42396</v>
      </c>
      <c r="J56" s="23">
        <f t="shared" si="2"/>
        <v>16991.506999999998</v>
      </c>
      <c r="K56" s="23">
        <v>3175</v>
      </c>
      <c r="L56" s="23">
        <v>36287</v>
      </c>
      <c r="M56" s="85">
        <v>6.0999999999999999E-2</v>
      </c>
      <c r="N56" s="20">
        <f t="shared" si="3"/>
        <v>2213.5070000000001</v>
      </c>
      <c r="O56" s="23">
        <v>591</v>
      </c>
      <c r="P56" s="23">
        <v>398</v>
      </c>
      <c r="Q56" s="23">
        <v>7305</v>
      </c>
      <c r="R56" s="23">
        <v>3309</v>
      </c>
      <c r="S56" s="23">
        <v>11922</v>
      </c>
      <c r="T56" s="23">
        <f t="shared" si="4"/>
        <v>44214</v>
      </c>
      <c r="U56" s="23">
        <v>35163</v>
      </c>
      <c r="V56" s="23">
        <v>9051</v>
      </c>
      <c r="W56" s="23">
        <v>918608</v>
      </c>
      <c r="X56" s="23">
        <f t="shared" si="5"/>
        <v>9997.4930000000168</v>
      </c>
      <c r="Y56" s="85">
        <f t="shared" si="6"/>
        <v>1.1003056780632207E-2</v>
      </c>
    </row>
    <row r="57" spans="1:33" ht="12.75" customHeight="1">
      <c r="A57" s="58">
        <v>2010</v>
      </c>
      <c r="B57" s="23">
        <v>2599951</v>
      </c>
      <c r="C57" s="23">
        <f t="shared" si="0"/>
        <v>961682.25600000005</v>
      </c>
      <c r="D57" s="23">
        <f t="shared" si="1"/>
        <v>881668</v>
      </c>
      <c r="E57" s="23">
        <v>521990</v>
      </c>
      <c r="F57" s="23">
        <v>267156</v>
      </c>
      <c r="G57" s="23">
        <v>8148</v>
      </c>
      <c r="H57" s="23">
        <v>38311</v>
      </c>
      <c r="I57" s="23">
        <v>46063</v>
      </c>
      <c r="J57" s="23">
        <f t="shared" si="2"/>
        <v>17905.256000000001</v>
      </c>
      <c r="K57" s="23">
        <v>3563</v>
      </c>
      <c r="L57" s="23">
        <v>34879</v>
      </c>
      <c r="M57" s="85">
        <v>6.4000000000000001E-2</v>
      </c>
      <c r="N57" s="20">
        <f t="shared" si="3"/>
        <v>2232.2559999999999</v>
      </c>
      <c r="O57" s="23">
        <v>591</v>
      </c>
      <c r="P57" s="23">
        <v>429</v>
      </c>
      <c r="Q57" s="23">
        <v>7705</v>
      </c>
      <c r="R57" s="23">
        <v>3385</v>
      </c>
      <c r="S57" s="23">
        <v>13894</v>
      </c>
      <c r="T57" s="23">
        <f t="shared" si="4"/>
        <v>48215</v>
      </c>
      <c r="U57" s="23">
        <v>38667</v>
      </c>
      <c r="V57" s="23">
        <v>9548</v>
      </c>
      <c r="W57" s="23">
        <v>982922</v>
      </c>
      <c r="X57" s="23">
        <f t="shared" si="5"/>
        <v>21239.743999999948</v>
      </c>
      <c r="Y57" s="85">
        <f t="shared" si="6"/>
        <v>2.2086030877125747E-2</v>
      </c>
    </row>
    <row r="58" spans="1:33" ht="12.75" customHeight="1">
      <c r="A58" s="58">
        <v>2011</v>
      </c>
      <c r="B58" s="23">
        <v>2700739</v>
      </c>
      <c r="C58" s="23">
        <f t="shared" si="0"/>
        <v>981367.00639999995</v>
      </c>
      <c r="D58" s="23">
        <f t="shared" si="1"/>
        <v>900650</v>
      </c>
      <c r="E58" s="23">
        <v>554299</v>
      </c>
      <c r="F58" s="23">
        <v>248176</v>
      </c>
      <c r="G58" s="23">
        <v>8393</v>
      </c>
      <c r="H58" s="23">
        <v>39700</v>
      </c>
      <c r="I58" s="23">
        <v>50082</v>
      </c>
      <c r="J58" s="23">
        <f t="shared" si="2"/>
        <v>19827.006399999998</v>
      </c>
      <c r="K58" s="23">
        <v>3579</v>
      </c>
      <c r="L58" s="23">
        <v>35033</v>
      </c>
      <c r="M58" s="171">
        <f>AVERAGE(M53:M57)</f>
        <v>6.08E-2</v>
      </c>
      <c r="N58" s="20">
        <f t="shared" si="3"/>
        <v>2130.0064000000002</v>
      </c>
      <c r="O58" s="23">
        <v>584</v>
      </c>
      <c r="P58" s="23">
        <v>416</v>
      </c>
      <c r="Q58" s="23">
        <v>9673</v>
      </c>
      <c r="R58" s="23">
        <v>3445</v>
      </c>
      <c r="S58" s="23">
        <v>10334</v>
      </c>
      <c r="T58" s="23">
        <f t="shared" si="4"/>
        <v>50556</v>
      </c>
      <c r="U58" s="23">
        <v>39018</v>
      </c>
      <c r="V58" s="23">
        <v>11538</v>
      </c>
      <c r="W58" s="23">
        <v>989595</v>
      </c>
      <c r="X58" s="23">
        <f t="shared" si="5"/>
        <v>8227.9936000000453</v>
      </c>
      <c r="Y58" s="85">
        <f t="shared" si="6"/>
        <v>8.384216655278871E-3</v>
      </c>
    </row>
    <row r="59" spans="1:33" ht="18" customHeight="1">
      <c r="A59" s="172" t="s">
        <v>23</v>
      </c>
      <c r="B59" s="159"/>
      <c r="C59" s="160"/>
      <c r="D59" s="159"/>
      <c r="E59" s="159"/>
      <c r="F59" s="159"/>
      <c r="G59" s="159"/>
      <c r="H59" s="159"/>
      <c r="I59" s="159"/>
      <c r="J59" s="159"/>
      <c r="K59" s="159"/>
      <c r="L59" s="160" t="s">
        <v>24</v>
      </c>
      <c r="M59" s="160" t="s">
        <v>25</v>
      </c>
      <c r="N59" s="160" t="s">
        <v>26</v>
      </c>
      <c r="O59" s="159"/>
      <c r="P59" s="159"/>
      <c r="Q59" s="160" t="s">
        <v>27</v>
      </c>
      <c r="R59" s="159"/>
      <c r="S59" s="159"/>
      <c r="T59" s="159"/>
      <c r="U59" s="161"/>
      <c r="V59" s="161"/>
      <c r="W59" s="160" t="s">
        <v>28</v>
      </c>
      <c r="X59" s="160" t="s">
        <v>29</v>
      </c>
      <c r="Y59" s="173" t="s">
        <v>30</v>
      </c>
    </row>
    <row r="60" spans="1:33" ht="15.75" customHeight="1">
      <c r="A60" s="137" t="s">
        <v>36</v>
      </c>
      <c r="B60" s="163">
        <v>41505</v>
      </c>
      <c r="C60" s="163"/>
      <c r="D60" s="163"/>
      <c r="E60" s="174"/>
      <c r="F60" s="137"/>
      <c r="G60" s="137"/>
      <c r="H60" s="137"/>
      <c r="I60" s="137"/>
      <c r="W60" s="153"/>
    </row>
    <row r="61" spans="1:33" s="38" customFormat="1" ht="24.75" customHeight="1">
      <c r="A61" s="175" t="s">
        <v>37</v>
      </c>
      <c r="B61" s="114" t="s">
        <v>328</v>
      </c>
      <c r="C61" s="114"/>
      <c r="D61" s="114"/>
      <c r="E61" s="114"/>
      <c r="F61" s="114"/>
      <c r="G61" s="114"/>
      <c r="H61" s="114"/>
      <c r="I61" s="114"/>
      <c r="J61" s="114"/>
      <c r="K61" s="114"/>
      <c r="L61" s="114"/>
      <c r="M61" s="114"/>
      <c r="N61" s="114"/>
      <c r="O61" s="114"/>
      <c r="P61" s="114"/>
      <c r="Q61" s="114"/>
      <c r="R61" s="114"/>
    </row>
    <row r="62" spans="1:33" s="38" customFormat="1" ht="19.5" customHeight="1">
      <c r="A62" s="43" t="s">
        <v>307</v>
      </c>
      <c r="B62" s="43"/>
      <c r="C62" s="43"/>
      <c r="D62" s="43"/>
      <c r="E62" s="43"/>
      <c r="F62" s="43"/>
      <c r="G62" s="43"/>
      <c r="H62" s="164"/>
      <c r="I62" s="37"/>
      <c r="J62" s="37"/>
      <c r="K62" s="37"/>
      <c r="L62" s="37"/>
      <c r="M62" s="37"/>
      <c r="N62" s="37"/>
      <c r="O62" s="37"/>
      <c r="T62" s="40"/>
      <c r="U62" s="40"/>
      <c r="V62" s="40"/>
      <c r="W62" s="40"/>
      <c r="X62" s="40"/>
      <c r="Y62" s="40"/>
      <c r="Z62" s="40"/>
      <c r="AA62" s="40"/>
      <c r="AB62" s="40"/>
      <c r="AC62" s="40"/>
      <c r="AD62" s="40"/>
      <c r="AE62" s="40"/>
      <c r="AF62" s="40"/>
      <c r="AG62" s="40"/>
    </row>
    <row r="63" spans="1:33" s="38" customFormat="1" ht="24.75" customHeight="1">
      <c r="A63" s="165" t="str">
        <f>L59</f>
        <v>[A]</v>
      </c>
      <c r="B63" s="40" t="s">
        <v>329</v>
      </c>
      <c r="C63" s="40"/>
      <c r="D63" s="40"/>
      <c r="E63" s="40"/>
      <c r="F63" s="40"/>
      <c r="G63" s="40"/>
      <c r="H63" s="40"/>
      <c r="I63" s="40"/>
      <c r="J63" s="40"/>
      <c r="K63" s="40"/>
      <c r="L63" s="40"/>
      <c r="M63" s="40"/>
      <c r="N63" s="40"/>
      <c r="O63" s="40"/>
      <c r="W63" s="153"/>
      <c r="Z63" s="113"/>
    </row>
    <row r="64" spans="1:33" s="38" customFormat="1" ht="84" customHeight="1">
      <c r="A64" s="165" t="str">
        <f>M59</f>
        <v>[B]</v>
      </c>
      <c r="B64" s="40" t="s">
        <v>330</v>
      </c>
      <c r="C64" s="40"/>
      <c r="D64" s="40"/>
      <c r="E64" s="40"/>
      <c r="F64" s="40"/>
      <c r="G64" s="40"/>
      <c r="H64" s="40"/>
      <c r="I64" s="40"/>
      <c r="J64" s="40"/>
      <c r="K64" s="40"/>
      <c r="L64" s="40"/>
      <c r="M64" s="40"/>
      <c r="N64" s="40"/>
      <c r="O64" s="40"/>
      <c r="W64" s="153"/>
      <c r="Z64" s="113"/>
    </row>
    <row r="65" spans="1:26" s="38" customFormat="1" ht="18" customHeight="1">
      <c r="A65" s="165" t="str">
        <f>N59</f>
        <v>[C]</v>
      </c>
      <c r="B65" s="40" t="s">
        <v>331</v>
      </c>
      <c r="C65" s="40"/>
      <c r="D65" s="40"/>
      <c r="E65" s="40"/>
      <c r="F65" s="40"/>
      <c r="G65" s="40"/>
      <c r="H65" s="40"/>
      <c r="I65" s="40"/>
      <c r="J65" s="72"/>
      <c r="K65" s="72"/>
      <c r="L65" s="72"/>
      <c r="M65" s="72"/>
      <c r="N65" s="72"/>
      <c r="O65" s="72"/>
      <c r="W65" s="153"/>
      <c r="Z65" s="113"/>
    </row>
    <row r="66" spans="1:26" s="38" customFormat="1" ht="24.75" customHeight="1">
      <c r="A66" s="165" t="str">
        <f>Q59</f>
        <v>[D]</v>
      </c>
      <c r="B66" s="40" t="s">
        <v>309</v>
      </c>
      <c r="C66" s="40"/>
      <c r="D66" s="40"/>
      <c r="E66" s="40"/>
      <c r="F66" s="40"/>
      <c r="G66" s="40"/>
      <c r="H66" s="40"/>
      <c r="I66" s="40"/>
      <c r="J66" s="40"/>
      <c r="K66" s="40"/>
      <c r="L66" s="40"/>
      <c r="M66" s="40"/>
      <c r="N66" s="40"/>
      <c r="O66" s="40"/>
      <c r="W66" s="153"/>
      <c r="Z66" s="113"/>
    </row>
    <row r="67" spans="1:26" s="38" customFormat="1" ht="18" customHeight="1">
      <c r="A67" s="165" t="str">
        <f>W59</f>
        <v>[E]</v>
      </c>
      <c r="B67" s="40" t="s">
        <v>332</v>
      </c>
      <c r="C67" s="40"/>
      <c r="D67" s="40"/>
      <c r="E67" s="40"/>
      <c r="F67" s="40"/>
      <c r="G67" s="40"/>
      <c r="H67" s="40"/>
      <c r="I67" s="40"/>
      <c r="J67" s="40"/>
      <c r="K67" s="40"/>
      <c r="L67" s="40"/>
      <c r="M67" s="40"/>
      <c r="N67" s="40"/>
      <c r="O67" s="40"/>
      <c r="W67" s="153"/>
      <c r="Z67" s="113"/>
    </row>
    <row r="68" spans="1:26" s="38" customFormat="1" ht="18" customHeight="1">
      <c r="A68" s="165" t="str">
        <f>X59</f>
        <v>[F]</v>
      </c>
      <c r="B68" s="40" t="s">
        <v>333</v>
      </c>
      <c r="C68" s="40"/>
      <c r="D68" s="40"/>
      <c r="E68" s="40"/>
      <c r="F68" s="40"/>
      <c r="G68" s="40"/>
      <c r="H68" s="40"/>
      <c r="I68" s="40"/>
      <c r="J68" s="40"/>
      <c r="K68" s="40"/>
      <c r="L68" s="40"/>
      <c r="M68" s="40"/>
      <c r="N68" s="40"/>
      <c r="O68" s="40"/>
      <c r="W68" s="153"/>
      <c r="Z68" s="113"/>
    </row>
    <row r="69" spans="1:26" s="38" customFormat="1" ht="18" customHeight="1">
      <c r="A69" s="165" t="str">
        <f>Y59</f>
        <v>[G]</v>
      </c>
      <c r="B69" s="40" t="s">
        <v>334</v>
      </c>
      <c r="C69" s="40"/>
      <c r="D69" s="40"/>
      <c r="E69" s="40"/>
      <c r="F69" s="40"/>
      <c r="G69" s="40"/>
      <c r="H69" s="40"/>
      <c r="I69" s="40"/>
      <c r="J69" s="40"/>
      <c r="K69" s="40"/>
      <c r="L69" s="40"/>
      <c r="M69" s="40"/>
      <c r="N69" s="40"/>
      <c r="O69" s="40"/>
      <c r="W69" s="153"/>
      <c r="Z69" s="113"/>
    </row>
    <row r="70" spans="1:26" s="38" customFormat="1" ht="19.5" customHeight="1">
      <c r="A70" s="43" t="s">
        <v>311</v>
      </c>
      <c r="B70" s="43"/>
      <c r="C70" s="43"/>
      <c r="D70" s="43"/>
      <c r="E70" s="43"/>
      <c r="F70" s="43"/>
      <c r="G70" s="43"/>
      <c r="H70" s="43"/>
      <c r="I70" s="148"/>
      <c r="J70" s="37"/>
      <c r="K70" s="37"/>
      <c r="L70" s="37"/>
      <c r="M70" s="37"/>
      <c r="N70" s="37"/>
      <c r="O70" s="37"/>
      <c r="Z70" s="113"/>
    </row>
    <row r="71" spans="1:26" s="89" customFormat="1" ht="36" customHeight="1">
      <c r="A71" s="39" t="s">
        <v>111</v>
      </c>
      <c r="B71" s="88" t="s">
        <v>335</v>
      </c>
      <c r="C71" s="88"/>
      <c r="D71" s="88"/>
      <c r="E71" s="88"/>
      <c r="F71" s="88"/>
      <c r="G71" s="88"/>
      <c r="H71" s="88"/>
      <c r="I71" s="88"/>
      <c r="J71" s="88"/>
      <c r="K71" s="88"/>
      <c r="L71" s="88"/>
      <c r="M71" s="88"/>
      <c r="N71" s="88"/>
      <c r="W71" s="38"/>
      <c r="Z71" s="124"/>
    </row>
    <row r="72" spans="1:26" s="89" customFormat="1" ht="36" customHeight="1">
      <c r="A72" s="39" t="s">
        <v>113</v>
      </c>
      <c r="B72" s="88" t="s">
        <v>130</v>
      </c>
      <c r="C72" s="88"/>
      <c r="D72" s="88"/>
      <c r="E72" s="88"/>
      <c r="F72" s="88"/>
      <c r="G72" s="88"/>
      <c r="H72" s="88"/>
      <c r="I72" s="88"/>
      <c r="J72" s="88"/>
      <c r="K72" s="88"/>
      <c r="L72" s="88"/>
      <c r="M72" s="88"/>
      <c r="N72" s="88"/>
      <c r="W72" s="38"/>
      <c r="Z72" s="124"/>
    </row>
    <row r="73" spans="1:26" s="89" customFormat="1" ht="36" customHeight="1">
      <c r="A73" s="39" t="s">
        <v>115</v>
      </c>
      <c r="B73" s="88" t="s">
        <v>312</v>
      </c>
      <c r="C73" s="88"/>
      <c r="D73" s="88"/>
      <c r="E73" s="88"/>
      <c r="F73" s="88"/>
      <c r="G73" s="88"/>
      <c r="H73" s="88"/>
      <c r="I73" s="88"/>
      <c r="J73" s="88"/>
      <c r="K73" s="88"/>
      <c r="L73" s="88"/>
      <c r="M73" s="88"/>
      <c r="N73" s="88"/>
      <c r="W73" s="38"/>
      <c r="Z73" s="124"/>
    </row>
    <row r="74" spans="1:26" s="89" customFormat="1" ht="36" customHeight="1">
      <c r="A74" s="39" t="s">
        <v>117</v>
      </c>
      <c r="B74" s="88" t="s">
        <v>336</v>
      </c>
      <c r="C74" s="88"/>
      <c r="D74" s="88"/>
      <c r="E74" s="88"/>
      <c r="F74" s="88"/>
      <c r="G74" s="88"/>
      <c r="H74" s="88"/>
      <c r="I74" s="88"/>
      <c r="J74" s="88"/>
      <c r="K74" s="88"/>
      <c r="L74" s="88"/>
      <c r="M74" s="88"/>
      <c r="N74" s="88"/>
      <c r="W74" s="38"/>
      <c r="Z74" s="124"/>
    </row>
    <row r="75" spans="1:26" s="89" customFormat="1" ht="36" customHeight="1">
      <c r="A75" s="39" t="s">
        <v>119</v>
      </c>
      <c r="B75" s="88" t="s">
        <v>337</v>
      </c>
      <c r="C75" s="88"/>
      <c r="D75" s="88"/>
      <c r="E75" s="88"/>
      <c r="F75" s="88"/>
      <c r="G75" s="88"/>
      <c r="H75" s="88"/>
      <c r="I75" s="88"/>
      <c r="J75" s="88"/>
      <c r="K75" s="88"/>
      <c r="L75" s="88"/>
      <c r="M75" s="88"/>
      <c r="N75" s="88"/>
      <c r="W75" s="38"/>
      <c r="Z75" s="124"/>
    </row>
    <row r="76" spans="1:26" s="167" customFormat="1" ht="18" customHeight="1">
      <c r="A76" s="91" t="s">
        <v>313</v>
      </c>
      <c r="B76" s="91"/>
      <c r="C76" s="91"/>
      <c r="D76" s="91"/>
      <c r="E76" s="91"/>
      <c r="F76" s="91"/>
      <c r="G76" s="91"/>
      <c r="H76" s="91"/>
      <c r="I76" s="91"/>
      <c r="W76" s="38"/>
      <c r="Z76" s="168"/>
    </row>
    <row r="78" spans="1:26" s="167" customFormat="1">
      <c r="A78"/>
      <c r="W78" s="38"/>
      <c r="Z78" s="168"/>
    </row>
    <row r="79" spans="1:26" s="167" customFormat="1">
      <c r="A79" s="168"/>
      <c r="W79" s="38"/>
      <c r="Z79" s="168"/>
    </row>
    <row r="80" spans="1:26" s="167" customFormat="1">
      <c r="A80" s="168"/>
      <c r="W80" s="89"/>
      <c r="Z80" s="168"/>
    </row>
    <row r="81" spans="1:26" s="167" customFormat="1">
      <c r="A81" s="168"/>
      <c r="Z81" s="168"/>
    </row>
    <row r="82" spans="1:26" s="167" customFormat="1">
      <c r="A82" s="168"/>
      <c r="W82" s="89"/>
      <c r="Z82" s="168"/>
    </row>
    <row r="83" spans="1:26" s="167" customFormat="1">
      <c r="A83" s="168"/>
      <c r="Z83" s="168"/>
    </row>
    <row r="84" spans="1:26" s="167" customFormat="1">
      <c r="A84" s="168"/>
      <c r="Z84" s="168"/>
    </row>
    <row r="85" spans="1:26" s="167" customFormat="1">
      <c r="A85" s="168"/>
      <c r="Z85" s="168"/>
    </row>
    <row r="86" spans="1:26" s="167" customFormat="1">
      <c r="A86" s="168"/>
      <c r="Z86" s="168"/>
    </row>
    <row r="87" spans="1:26" s="167" customFormat="1">
      <c r="A87" s="168"/>
      <c r="Z87" s="168"/>
    </row>
    <row r="88" spans="1:26" s="167" customFormat="1">
      <c r="A88" s="168"/>
      <c r="Z88" s="168"/>
    </row>
    <row r="89" spans="1:26" s="167" customFormat="1">
      <c r="A89" s="168"/>
      <c r="Z89" s="168"/>
    </row>
    <row r="90" spans="1:26" s="167" customFormat="1">
      <c r="A90" s="168"/>
      <c r="Z90" s="168"/>
    </row>
    <row r="91" spans="1:26" s="167" customFormat="1">
      <c r="A91" s="168"/>
      <c r="Z91" s="168"/>
    </row>
    <row r="92" spans="1:26" s="167" customFormat="1">
      <c r="A92" s="168"/>
      <c r="Z92" s="168"/>
    </row>
    <row r="93" spans="1:26" s="167" customFormat="1">
      <c r="A93" s="168"/>
      <c r="Z93" s="168"/>
    </row>
    <row r="94" spans="1:26">
      <c r="W94" s="167"/>
    </row>
    <row r="95" spans="1:26">
      <c r="W95" s="167"/>
    </row>
    <row r="96" spans="1:26">
      <c r="W96" s="167"/>
    </row>
    <row r="97" spans="23:23">
      <c r="W97" s="167"/>
    </row>
    <row r="98" spans="23:23">
      <c r="W98" s="167"/>
    </row>
  </sheetData>
  <mergeCells count="47">
    <mergeCell ref="B75:N75"/>
    <mergeCell ref="A76:I76"/>
    <mergeCell ref="B69:O69"/>
    <mergeCell ref="A70:H70"/>
    <mergeCell ref="B71:N71"/>
    <mergeCell ref="B72:N72"/>
    <mergeCell ref="B73:N73"/>
    <mergeCell ref="B74:N74"/>
    <mergeCell ref="B63:O63"/>
    <mergeCell ref="B64:O64"/>
    <mergeCell ref="B65:I65"/>
    <mergeCell ref="B66:O66"/>
    <mergeCell ref="B67:O67"/>
    <mergeCell ref="B68:O68"/>
    <mergeCell ref="V5:V6"/>
    <mergeCell ref="X5:X6"/>
    <mergeCell ref="Y5:Y6"/>
    <mergeCell ref="B60:D60"/>
    <mergeCell ref="B61:R61"/>
    <mergeCell ref="A62:G62"/>
    <mergeCell ref="T62:AG62"/>
    <mergeCell ref="O5:O6"/>
    <mergeCell ref="P5:P6"/>
    <mergeCell ref="Q5:Q6"/>
    <mergeCell ref="R5:R6"/>
    <mergeCell ref="T5:T6"/>
    <mergeCell ref="U5:U6"/>
    <mergeCell ref="S3:S6"/>
    <mergeCell ref="T3:V4"/>
    <mergeCell ref="W3:W6"/>
    <mergeCell ref="X3:Y4"/>
    <mergeCell ref="D5:D6"/>
    <mergeCell ref="E5:E6"/>
    <mergeCell ref="F5:F6"/>
    <mergeCell ref="G5:G6"/>
    <mergeCell ref="H5:H6"/>
    <mergeCell ref="I5:I6"/>
    <mergeCell ref="A1:O1"/>
    <mergeCell ref="A2:O2"/>
    <mergeCell ref="A3:A6"/>
    <mergeCell ref="B3:B6"/>
    <mergeCell ref="C3:C6"/>
    <mergeCell ref="D3:I4"/>
    <mergeCell ref="J3:R4"/>
    <mergeCell ref="J5:J6"/>
    <mergeCell ref="K5:K6"/>
    <mergeCell ref="L5:N5"/>
  </mergeCells>
  <printOptions horizontalCentered="1"/>
  <pageMargins left="0.7" right="0.7" top="0.75" bottom="0.75" header="0.3" footer="0.3"/>
  <pageSetup scale="74" fitToWidth="2" fitToHeight="2" orientation="landscape" horizontalDpi="300" r:id="rId1"/>
  <colBreaks count="1" manualBreakCount="1">
    <brk id="18" max="7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6"/>
  <sheetViews>
    <sheetView view="pageBreakPreview" zoomScaleNormal="100" zoomScaleSheetLayoutView="100" workbookViewId="0">
      <pane xSplit="3" ySplit="6" topLeftCell="D51" activePane="bottomRight" state="frozen"/>
      <selection activeCell="L9" sqref="L9"/>
      <selection pane="topRight" activeCell="L9" sqref="L9"/>
      <selection pane="bottomLeft" activeCell="L9" sqref="L9"/>
      <selection pane="bottomRight" activeCell="L9" sqref="L9"/>
    </sheetView>
  </sheetViews>
  <sheetFormatPr defaultRowHeight="15"/>
  <cols>
    <col min="1" max="1" width="6.7109375" style="93" customWidth="1"/>
    <col min="2" max="2" width="9.7109375" customWidth="1"/>
    <col min="3" max="3" width="8.7109375" customWidth="1"/>
    <col min="4" max="4" width="9.7109375" customWidth="1"/>
    <col min="5" max="6" width="7.7109375" customWidth="1"/>
  </cols>
  <sheetData>
    <row r="1" spans="1:22" ht="18" customHeight="1">
      <c r="A1" s="92" t="s">
        <v>338</v>
      </c>
      <c r="B1" s="92"/>
      <c r="C1" s="92"/>
      <c r="D1" s="92"/>
      <c r="E1" s="92"/>
      <c r="F1" s="92"/>
      <c r="G1" s="92"/>
      <c r="H1" s="92"/>
      <c r="I1" s="92"/>
      <c r="J1" s="92"/>
      <c r="K1" s="92"/>
      <c r="L1" s="92"/>
      <c r="M1" s="92"/>
      <c r="N1" s="92"/>
    </row>
    <row r="2" spans="1:22" ht="15" customHeight="1" thickBot="1">
      <c r="A2" s="94" t="s">
        <v>267</v>
      </c>
      <c r="B2" s="94"/>
      <c r="C2" s="94"/>
      <c r="D2" s="94"/>
      <c r="E2" s="94"/>
      <c r="F2" s="94"/>
      <c r="G2" s="153"/>
    </row>
    <row r="3" spans="1:22" ht="15.75" customHeight="1" thickTop="1">
      <c r="A3" s="4" t="s">
        <v>268</v>
      </c>
      <c r="B3" s="154" t="s">
        <v>269</v>
      </c>
      <c r="C3" s="154" t="s">
        <v>339</v>
      </c>
      <c r="D3" s="3" t="s">
        <v>271</v>
      </c>
      <c r="E3" s="2"/>
      <c r="F3" s="2"/>
      <c r="G3" s="3" t="s">
        <v>272</v>
      </c>
      <c r="H3" s="2"/>
      <c r="I3" s="2"/>
      <c r="J3" s="2"/>
      <c r="K3" s="2"/>
      <c r="L3" s="2"/>
      <c r="M3" s="2"/>
      <c r="N3" s="2"/>
      <c r="O3" s="4"/>
      <c r="P3" s="154" t="s">
        <v>316</v>
      </c>
      <c r="Q3" s="3" t="s">
        <v>274</v>
      </c>
      <c r="R3" s="2"/>
      <c r="S3" s="4"/>
      <c r="T3" s="4" t="s">
        <v>340</v>
      </c>
      <c r="U3" s="3" t="s">
        <v>318</v>
      </c>
      <c r="V3" s="2"/>
    </row>
    <row r="4" spans="1:22" ht="12.75" customHeight="1">
      <c r="A4" s="13"/>
      <c r="B4" s="155"/>
      <c r="C4" s="155"/>
      <c r="D4" s="9"/>
      <c r="E4" s="95"/>
      <c r="F4" s="95"/>
      <c r="G4" s="9"/>
      <c r="H4" s="95"/>
      <c r="I4" s="95"/>
      <c r="J4" s="95"/>
      <c r="K4" s="95"/>
      <c r="L4" s="95"/>
      <c r="M4" s="95"/>
      <c r="N4" s="95"/>
      <c r="O4" s="10"/>
      <c r="P4" s="47"/>
      <c r="Q4" s="9"/>
      <c r="R4" s="95"/>
      <c r="S4" s="10"/>
      <c r="T4" s="13"/>
      <c r="U4" s="9"/>
      <c r="V4" s="95"/>
    </row>
    <row r="5" spans="1:22" ht="15.75" customHeight="1">
      <c r="A5" s="13"/>
      <c r="B5" s="155"/>
      <c r="C5" s="155"/>
      <c r="D5" s="79" t="s">
        <v>148</v>
      </c>
      <c r="E5" s="14" t="s">
        <v>279</v>
      </c>
      <c r="F5" s="14" t="s">
        <v>280</v>
      </c>
      <c r="G5" s="14" t="s">
        <v>148</v>
      </c>
      <c r="H5" s="28" t="s">
        <v>319</v>
      </c>
      <c r="I5" s="30"/>
      <c r="J5" s="30"/>
      <c r="K5" s="14" t="s">
        <v>287</v>
      </c>
      <c r="L5" s="79" t="s">
        <v>320</v>
      </c>
      <c r="M5" s="14" t="s">
        <v>341</v>
      </c>
      <c r="N5" s="15" t="s">
        <v>294</v>
      </c>
      <c r="O5" s="14" t="s">
        <v>295</v>
      </c>
      <c r="P5" s="47"/>
      <c r="Q5" s="14" t="s">
        <v>148</v>
      </c>
      <c r="R5" s="14" t="s">
        <v>342</v>
      </c>
      <c r="S5" s="14" t="s">
        <v>323</v>
      </c>
      <c r="T5" s="13"/>
      <c r="U5" s="14" t="s">
        <v>324</v>
      </c>
      <c r="V5" s="15" t="s">
        <v>325</v>
      </c>
    </row>
    <row r="6" spans="1:22" ht="48" customHeight="1">
      <c r="A6" s="10"/>
      <c r="B6" s="117"/>
      <c r="C6" s="117"/>
      <c r="D6" s="10"/>
      <c r="E6" s="18"/>
      <c r="F6" s="18"/>
      <c r="G6" s="18"/>
      <c r="H6" s="156" t="s">
        <v>148</v>
      </c>
      <c r="I6" s="81" t="s">
        <v>343</v>
      </c>
      <c r="J6" s="81" t="s">
        <v>344</v>
      </c>
      <c r="K6" s="18"/>
      <c r="L6" s="10"/>
      <c r="M6" s="18"/>
      <c r="N6" s="9"/>
      <c r="O6" s="18"/>
      <c r="P6" s="18"/>
      <c r="Q6" s="18"/>
      <c r="R6" s="18"/>
      <c r="S6" s="18"/>
      <c r="T6" s="10"/>
      <c r="U6" s="18"/>
      <c r="V6" s="9"/>
    </row>
    <row r="7" spans="1:22" ht="12.75" customHeight="1">
      <c r="A7" s="58">
        <v>1960</v>
      </c>
      <c r="B7" s="23">
        <v>27359</v>
      </c>
      <c r="C7" s="23">
        <f>D7+G7+P7+Q7</f>
        <v>3856.0950000000003</v>
      </c>
      <c r="D7" s="23">
        <f>SUM(E7:F7)</f>
        <v>0</v>
      </c>
      <c r="E7" s="23">
        <v>0</v>
      </c>
      <c r="F7" s="23">
        <v>0</v>
      </c>
      <c r="G7" s="23">
        <f>SUM(J7:O7)</f>
        <v>3128.0950000000003</v>
      </c>
      <c r="H7" s="23">
        <v>615</v>
      </c>
      <c r="I7" s="85">
        <f>1-'Table 1.1.4'!M7</f>
        <v>0.95299999999999996</v>
      </c>
      <c r="J7" s="20">
        <f>H7*I7</f>
        <v>586.09500000000003</v>
      </c>
      <c r="K7" s="23">
        <v>102</v>
      </c>
      <c r="L7" s="23">
        <v>89</v>
      </c>
      <c r="M7" s="23">
        <v>8</v>
      </c>
      <c r="N7" s="23">
        <v>2221</v>
      </c>
      <c r="O7" s="23">
        <v>122</v>
      </c>
      <c r="P7" s="23">
        <v>269</v>
      </c>
      <c r="Q7" s="23">
        <f>R7+S7</f>
        <v>459</v>
      </c>
      <c r="R7" s="23">
        <v>51</v>
      </c>
      <c r="S7" s="23">
        <v>408</v>
      </c>
      <c r="T7" s="82" t="s">
        <v>65</v>
      </c>
      <c r="U7" s="176" t="s">
        <v>66</v>
      </c>
      <c r="V7" s="176" t="s">
        <v>66</v>
      </c>
    </row>
    <row r="8" spans="1:22" ht="12.75" customHeight="1">
      <c r="A8" s="58">
        <v>1961</v>
      </c>
      <c r="B8" s="23">
        <v>29229</v>
      </c>
      <c r="C8" s="23">
        <f>D8+G8+P8+Q8</f>
        <v>4134.3760000000002</v>
      </c>
      <c r="D8" s="23">
        <f t="shared" ref="D8:D58" si="0">SUM(E8:F8)</f>
        <v>0</v>
      </c>
      <c r="E8" s="23">
        <v>0</v>
      </c>
      <c r="F8" s="23">
        <v>0</v>
      </c>
      <c r="G8" s="23">
        <f t="shared" ref="G8:G58" si="1">SUM(J8:O8)</f>
        <v>3397.3760000000002</v>
      </c>
      <c r="H8" s="23">
        <v>644</v>
      </c>
      <c r="I8" s="85">
        <f>1-'Table 1.1.4'!M8</f>
        <v>0.95399999999999996</v>
      </c>
      <c r="J8" s="20">
        <f t="shared" ref="J8:J58" si="2">H8*I8</f>
        <v>614.37599999999998</v>
      </c>
      <c r="K8" s="23">
        <v>110</v>
      </c>
      <c r="L8" s="23">
        <v>127</v>
      </c>
      <c r="M8" s="23">
        <v>8</v>
      </c>
      <c r="N8" s="23">
        <v>2398</v>
      </c>
      <c r="O8" s="23">
        <v>140</v>
      </c>
      <c r="P8" s="23">
        <v>302</v>
      </c>
      <c r="Q8" s="23">
        <f>R8+S8</f>
        <v>435</v>
      </c>
      <c r="R8" s="23">
        <v>58</v>
      </c>
      <c r="S8" s="23">
        <v>377</v>
      </c>
      <c r="T8" s="82" t="s">
        <v>65</v>
      </c>
      <c r="U8" s="176" t="s">
        <v>66</v>
      </c>
      <c r="V8" s="176" t="s">
        <v>66</v>
      </c>
    </row>
    <row r="9" spans="1:22" ht="12.75" customHeight="1">
      <c r="A9" s="58">
        <v>1962</v>
      </c>
      <c r="B9" s="23">
        <v>31907</v>
      </c>
      <c r="C9" s="23">
        <f>D9+G9+P9+Q9</f>
        <v>4369.9799999999996</v>
      </c>
      <c r="D9" s="23">
        <f t="shared" si="0"/>
        <v>0</v>
      </c>
      <c r="E9" s="23">
        <v>0</v>
      </c>
      <c r="F9" s="23">
        <v>0</v>
      </c>
      <c r="G9" s="23">
        <f t="shared" si="1"/>
        <v>3575.98</v>
      </c>
      <c r="H9" s="23">
        <v>705</v>
      </c>
      <c r="I9" s="85">
        <f>1-'Table 1.1.4'!M9</f>
        <v>0.95599999999999996</v>
      </c>
      <c r="J9" s="20">
        <f t="shared" si="2"/>
        <v>673.98</v>
      </c>
      <c r="K9" s="23">
        <v>102</v>
      </c>
      <c r="L9" s="23">
        <v>133</v>
      </c>
      <c r="M9" s="23">
        <v>10</v>
      </c>
      <c r="N9" s="23">
        <v>2510</v>
      </c>
      <c r="O9" s="23">
        <v>147</v>
      </c>
      <c r="P9" s="23">
        <v>316</v>
      </c>
      <c r="Q9" s="23">
        <f>R9+S9</f>
        <v>478</v>
      </c>
      <c r="R9" s="23">
        <v>66</v>
      </c>
      <c r="S9" s="23">
        <v>412</v>
      </c>
      <c r="T9" s="82" t="s">
        <v>65</v>
      </c>
      <c r="U9" s="176" t="s">
        <v>66</v>
      </c>
      <c r="V9" s="176" t="s">
        <v>66</v>
      </c>
    </row>
    <row r="10" spans="1:22" ht="12.75" customHeight="1">
      <c r="A10" s="58">
        <v>1963</v>
      </c>
      <c r="B10" s="23">
        <v>34727</v>
      </c>
      <c r="C10" s="23">
        <f t="shared" ref="C10:C58" si="3">D10+G10+P10+Q10</f>
        <v>5666.3519999999999</v>
      </c>
      <c r="D10" s="23">
        <f t="shared" si="0"/>
        <v>0</v>
      </c>
      <c r="E10" s="23">
        <v>0</v>
      </c>
      <c r="F10" s="23">
        <v>0</v>
      </c>
      <c r="G10" s="23">
        <f t="shared" si="1"/>
        <v>3888.3519999999999</v>
      </c>
      <c r="H10" s="23">
        <v>742</v>
      </c>
      <c r="I10" s="85">
        <f>1-'Table 1.1.4'!M10</f>
        <v>0.95599999999999996</v>
      </c>
      <c r="J10" s="20">
        <f t="shared" si="2"/>
        <v>709.35199999999998</v>
      </c>
      <c r="K10" s="23">
        <v>103</v>
      </c>
      <c r="L10" s="23">
        <v>150</v>
      </c>
      <c r="M10" s="23">
        <v>11</v>
      </c>
      <c r="N10" s="23">
        <v>2772</v>
      </c>
      <c r="O10" s="23">
        <v>143</v>
      </c>
      <c r="P10" s="23">
        <v>301</v>
      </c>
      <c r="Q10" s="23">
        <f t="shared" ref="Q10:Q29" si="4">R10+S20</f>
        <v>1477</v>
      </c>
      <c r="R10" s="23">
        <v>74</v>
      </c>
      <c r="S10" s="23">
        <v>418</v>
      </c>
      <c r="T10" s="82" t="s">
        <v>65</v>
      </c>
      <c r="U10" s="176" t="s">
        <v>66</v>
      </c>
      <c r="V10" s="176" t="s">
        <v>66</v>
      </c>
    </row>
    <row r="11" spans="1:22" ht="12.75" customHeight="1">
      <c r="A11" s="58">
        <v>1964</v>
      </c>
      <c r="B11" s="23">
        <v>38544</v>
      </c>
      <c r="C11" s="23">
        <f t="shared" si="3"/>
        <v>6464.299</v>
      </c>
      <c r="D11" s="23">
        <f t="shared" si="0"/>
        <v>0</v>
      </c>
      <c r="E11" s="23">
        <v>0</v>
      </c>
      <c r="F11" s="23">
        <v>0</v>
      </c>
      <c r="G11" s="23">
        <f t="shared" si="1"/>
        <v>4219.299</v>
      </c>
      <c r="H11" s="23">
        <v>807</v>
      </c>
      <c r="I11" s="85">
        <f>1-'Table 1.1.4'!M11</f>
        <v>0.95699999999999996</v>
      </c>
      <c r="J11" s="20">
        <f t="shared" si="2"/>
        <v>772.29899999999998</v>
      </c>
      <c r="K11" s="23">
        <v>112</v>
      </c>
      <c r="L11" s="23">
        <v>159</v>
      </c>
      <c r="M11" s="23">
        <v>13</v>
      </c>
      <c r="N11" s="23">
        <v>3012</v>
      </c>
      <c r="O11" s="23">
        <v>151</v>
      </c>
      <c r="P11" s="23">
        <v>347</v>
      </c>
      <c r="Q11" s="23">
        <f t="shared" si="4"/>
        <v>1898</v>
      </c>
      <c r="R11" s="23">
        <v>84</v>
      </c>
      <c r="S11" s="23">
        <v>457</v>
      </c>
      <c r="T11" s="82" t="s">
        <v>65</v>
      </c>
      <c r="U11" s="176" t="s">
        <v>66</v>
      </c>
      <c r="V11" s="176" t="s">
        <v>66</v>
      </c>
    </row>
    <row r="12" spans="1:22" ht="12.75" customHeight="1">
      <c r="A12" s="58">
        <v>1965</v>
      </c>
      <c r="B12" s="23">
        <v>41957</v>
      </c>
      <c r="C12" s="23">
        <f t="shared" si="3"/>
        <v>7130.33</v>
      </c>
      <c r="D12" s="23">
        <f t="shared" si="0"/>
        <v>0</v>
      </c>
      <c r="E12" s="23">
        <v>0</v>
      </c>
      <c r="F12" s="23">
        <v>0</v>
      </c>
      <c r="G12" s="23">
        <f t="shared" si="1"/>
        <v>4692.33</v>
      </c>
      <c r="H12" s="23">
        <v>870</v>
      </c>
      <c r="I12" s="85">
        <f>1-'Table 1.1.4'!M12</f>
        <v>0.95899999999999996</v>
      </c>
      <c r="J12" s="20">
        <f t="shared" si="2"/>
        <v>834.32999999999993</v>
      </c>
      <c r="K12" s="23">
        <v>122</v>
      </c>
      <c r="L12" s="23">
        <v>164</v>
      </c>
      <c r="M12" s="23">
        <v>15</v>
      </c>
      <c r="N12" s="23">
        <v>3389</v>
      </c>
      <c r="O12" s="23">
        <v>168</v>
      </c>
      <c r="P12" s="23">
        <v>407</v>
      </c>
      <c r="Q12" s="23">
        <f t="shared" si="4"/>
        <v>2031</v>
      </c>
      <c r="R12" s="23">
        <v>94</v>
      </c>
      <c r="S12" s="23">
        <v>502</v>
      </c>
      <c r="T12" s="23">
        <v>5676</v>
      </c>
      <c r="U12" s="177">
        <f t="shared" ref="U12:U57" si="5">C12-T12</f>
        <v>1454.33</v>
      </c>
      <c r="V12" s="85">
        <f>U12/C12</f>
        <v>0.20396391190870547</v>
      </c>
    </row>
    <row r="13" spans="1:22" ht="12.75" customHeight="1">
      <c r="A13" s="58">
        <v>1966</v>
      </c>
      <c r="B13" s="23">
        <v>46254</v>
      </c>
      <c r="C13" s="23">
        <f t="shared" si="3"/>
        <v>8019.3689999999997</v>
      </c>
      <c r="D13" s="23">
        <f t="shared" si="0"/>
        <v>672</v>
      </c>
      <c r="E13" s="23">
        <v>672</v>
      </c>
      <c r="F13" s="23">
        <v>0</v>
      </c>
      <c r="G13" s="23">
        <f t="shared" si="1"/>
        <v>4601.3689999999997</v>
      </c>
      <c r="H13" s="23">
        <v>991</v>
      </c>
      <c r="I13" s="85">
        <f>1-'Table 1.1.4'!M13</f>
        <v>0.95899999999999996</v>
      </c>
      <c r="J13" s="20">
        <f t="shared" si="2"/>
        <v>950.36899999999991</v>
      </c>
      <c r="K13" s="23">
        <v>182</v>
      </c>
      <c r="L13" s="23">
        <v>176</v>
      </c>
      <c r="M13" s="23">
        <v>16</v>
      </c>
      <c r="N13" s="23">
        <v>3090</v>
      </c>
      <c r="O13" s="23">
        <v>187</v>
      </c>
      <c r="P13" s="23">
        <v>439</v>
      </c>
      <c r="Q13" s="23">
        <f t="shared" si="4"/>
        <v>2307</v>
      </c>
      <c r="R13" s="23">
        <v>103</v>
      </c>
      <c r="S13" s="23">
        <v>537</v>
      </c>
      <c r="T13" s="23">
        <v>6331</v>
      </c>
      <c r="U13" s="177">
        <f t="shared" si="5"/>
        <v>1688.3689999999997</v>
      </c>
      <c r="V13" s="85">
        <f t="shared" ref="V13:V57" si="6">U13/C13</f>
        <v>0.21053639008256134</v>
      </c>
    </row>
    <row r="14" spans="1:22" ht="12.75" customHeight="1">
      <c r="A14" s="58">
        <v>1967</v>
      </c>
      <c r="B14" s="23">
        <v>51780</v>
      </c>
      <c r="C14" s="23">
        <f t="shared" si="3"/>
        <v>8677.7000000000007</v>
      </c>
      <c r="D14" s="23">
        <f t="shared" si="0"/>
        <v>1616</v>
      </c>
      <c r="E14" s="23">
        <v>1616</v>
      </c>
      <c r="F14" s="23">
        <v>0</v>
      </c>
      <c r="G14" s="23">
        <f t="shared" si="1"/>
        <v>4367.7</v>
      </c>
      <c r="H14" s="23">
        <v>1100</v>
      </c>
      <c r="I14" s="85">
        <f>1-'Table 1.1.4'!M14</f>
        <v>0.95699999999999996</v>
      </c>
      <c r="J14" s="20">
        <f t="shared" si="2"/>
        <v>1052.7</v>
      </c>
      <c r="K14" s="23">
        <v>240</v>
      </c>
      <c r="L14" s="23">
        <v>182</v>
      </c>
      <c r="M14" s="23">
        <v>22</v>
      </c>
      <c r="N14" s="23">
        <v>2656</v>
      </c>
      <c r="O14" s="23">
        <v>215</v>
      </c>
      <c r="P14" s="23">
        <v>460</v>
      </c>
      <c r="Q14" s="23">
        <f t="shared" si="4"/>
        <v>2234</v>
      </c>
      <c r="R14" s="23">
        <v>111</v>
      </c>
      <c r="S14" s="23">
        <v>742</v>
      </c>
      <c r="T14" s="23">
        <v>7263</v>
      </c>
      <c r="U14" s="177">
        <f t="shared" si="5"/>
        <v>1414.7000000000007</v>
      </c>
      <c r="V14" s="85">
        <f t="shared" si="6"/>
        <v>0.16302706938474487</v>
      </c>
    </row>
    <row r="15" spans="1:22" ht="12.75" customHeight="1">
      <c r="A15" s="58">
        <v>1968</v>
      </c>
      <c r="B15" s="23">
        <v>58755</v>
      </c>
      <c r="C15" s="23">
        <f t="shared" si="3"/>
        <v>9430.2639999999992</v>
      </c>
      <c r="D15" s="23">
        <f t="shared" si="0"/>
        <v>1707</v>
      </c>
      <c r="E15" s="23">
        <v>1707</v>
      </c>
      <c r="F15" s="23">
        <v>0</v>
      </c>
      <c r="G15" s="23">
        <f t="shared" si="1"/>
        <v>4906.2640000000001</v>
      </c>
      <c r="H15" s="23">
        <v>1244</v>
      </c>
      <c r="I15" s="85">
        <f>1-'Table 1.1.4'!M15</f>
        <v>0.95599999999999996</v>
      </c>
      <c r="J15" s="20">
        <f t="shared" si="2"/>
        <v>1189.2639999999999</v>
      </c>
      <c r="K15" s="23">
        <v>299</v>
      </c>
      <c r="L15" s="23">
        <v>210</v>
      </c>
      <c r="M15" s="23">
        <v>29</v>
      </c>
      <c r="N15" s="23">
        <v>2937</v>
      </c>
      <c r="O15" s="23">
        <v>242</v>
      </c>
      <c r="P15" s="23">
        <v>499</v>
      </c>
      <c r="Q15" s="23">
        <f t="shared" si="4"/>
        <v>2318</v>
      </c>
      <c r="R15" s="23">
        <v>130</v>
      </c>
      <c r="S15" s="23">
        <v>844</v>
      </c>
      <c r="T15" s="23">
        <v>8033</v>
      </c>
      <c r="U15" s="177">
        <f t="shared" si="5"/>
        <v>1397.2639999999992</v>
      </c>
      <c r="V15" s="85">
        <f t="shared" si="6"/>
        <v>0.14816806825344436</v>
      </c>
    </row>
    <row r="16" spans="1:22" ht="12.75" customHeight="1">
      <c r="A16" s="58">
        <v>1969</v>
      </c>
      <c r="B16" s="23">
        <v>66215</v>
      </c>
      <c r="C16" s="23">
        <f t="shared" si="3"/>
        <v>10590.887999999999</v>
      </c>
      <c r="D16" s="23">
        <f t="shared" si="0"/>
        <v>1877</v>
      </c>
      <c r="E16" s="23">
        <v>1877</v>
      </c>
      <c r="F16" s="23">
        <v>0</v>
      </c>
      <c r="G16" s="23">
        <f t="shared" si="1"/>
        <v>5422.8879999999999</v>
      </c>
      <c r="H16" s="23">
        <v>1372</v>
      </c>
      <c r="I16" s="85">
        <f>1-'Table 1.1.4'!M16</f>
        <v>0.95399999999999996</v>
      </c>
      <c r="J16" s="20">
        <f t="shared" si="2"/>
        <v>1308.8879999999999</v>
      </c>
      <c r="K16" s="23">
        <v>359</v>
      </c>
      <c r="L16" s="23">
        <v>244</v>
      </c>
      <c r="M16" s="23">
        <v>31</v>
      </c>
      <c r="N16" s="23">
        <v>3217</v>
      </c>
      <c r="O16" s="23">
        <v>263</v>
      </c>
      <c r="P16" s="23">
        <v>610</v>
      </c>
      <c r="Q16" s="23">
        <f t="shared" si="4"/>
        <v>2681</v>
      </c>
      <c r="R16" s="23">
        <v>156</v>
      </c>
      <c r="S16" s="23">
        <v>965</v>
      </c>
      <c r="T16" s="23">
        <v>8960</v>
      </c>
      <c r="U16" s="177">
        <f t="shared" si="5"/>
        <v>1630.887999999999</v>
      </c>
      <c r="V16" s="85">
        <f t="shared" si="6"/>
        <v>0.1539897315503666</v>
      </c>
    </row>
    <row r="17" spans="1:22" ht="18" customHeight="1">
      <c r="A17" s="58">
        <v>1970</v>
      </c>
      <c r="B17" s="23">
        <v>74853</v>
      </c>
      <c r="C17" s="23">
        <f t="shared" si="3"/>
        <v>12307.779999999999</v>
      </c>
      <c r="D17" s="23">
        <f t="shared" si="0"/>
        <v>2447</v>
      </c>
      <c r="E17" s="23">
        <v>2447</v>
      </c>
      <c r="F17" s="23">
        <v>0</v>
      </c>
      <c r="G17" s="23">
        <f t="shared" si="1"/>
        <v>5983.78</v>
      </c>
      <c r="H17" s="23">
        <v>1532</v>
      </c>
      <c r="I17" s="85">
        <f>1-'Table 1.1.4'!M17</f>
        <v>0.91500000000000004</v>
      </c>
      <c r="J17" s="20">
        <f t="shared" si="2"/>
        <v>1401.78</v>
      </c>
      <c r="K17" s="23">
        <v>417</v>
      </c>
      <c r="L17" s="23">
        <v>261</v>
      </c>
      <c r="M17" s="23">
        <v>34</v>
      </c>
      <c r="N17" s="23">
        <v>3580</v>
      </c>
      <c r="O17" s="23">
        <v>290</v>
      </c>
      <c r="P17" s="23">
        <v>762</v>
      </c>
      <c r="Q17" s="23">
        <f t="shared" si="4"/>
        <v>3115</v>
      </c>
      <c r="R17" s="23">
        <v>183</v>
      </c>
      <c r="S17" s="23">
        <v>1009</v>
      </c>
      <c r="T17" s="23">
        <v>10354</v>
      </c>
      <c r="U17" s="177">
        <f t="shared" si="5"/>
        <v>1953.7799999999988</v>
      </c>
      <c r="V17" s="85">
        <f t="shared" si="6"/>
        <v>0.15874349395260551</v>
      </c>
    </row>
    <row r="18" spans="1:22" ht="12.75" customHeight="1">
      <c r="A18" s="58">
        <v>1971</v>
      </c>
      <c r="B18" s="23">
        <v>83240</v>
      </c>
      <c r="C18" s="23">
        <f t="shared" si="3"/>
        <v>13066.220000000001</v>
      </c>
      <c r="D18" s="23">
        <f t="shared" si="0"/>
        <v>2886</v>
      </c>
      <c r="E18" s="23">
        <v>2886</v>
      </c>
      <c r="F18" s="23">
        <v>0</v>
      </c>
      <c r="G18" s="23">
        <f t="shared" si="1"/>
        <v>6087.22</v>
      </c>
      <c r="H18" s="23">
        <v>1570</v>
      </c>
      <c r="I18" s="85">
        <f>1-'Table 1.1.4'!M18</f>
        <v>0.84599999999999997</v>
      </c>
      <c r="J18" s="20">
        <f t="shared" si="2"/>
        <v>1328.22</v>
      </c>
      <c r="K18" s="23">
        <v>477</v>
      </c>
      <c r="L18" s="23">
        <v>263</v>
      </c>
      <c r="M18" s="23">
        <v>40</v>
      </c>
      <c r="N18" s="23">
        <v>3671</v>
      </c>
      <c r="O18" s="23">
        <v>308</v>
      </c>
      <c r="P18" s="23">
        <v>885</v>
      </c>
      <c r="Q18" s="23">
        <f t="shared" si="4"/>
        <v>3208</v>
      </c>
      <c r="R18" s="23">
        <v>213</v>
      </c>
      <c r="S18" s="23">
        <v>1385</v>
      </c>
      <c r="T18" s="23">
        <v>11508</v>
      </c>
      <c r="U18" s="177">
        <f t="shared" si="5"/>
        <v>1558.2200000000012</v>
      </c>
      <c r="V18" s="85">
        <f t="shared" si="6"/>
        <v>0.11925560720698114</v>
      </c>
    </row>
    <row r="19" spans="1:22" ht="12.75" customHeight="1">
      <c r="A19" s="58">
        <v>1972</v>
      </c>
      <c r="B19" s="23">
        <v>93141</v>
      </c>
      <c r="C19" s="23">
        <f t="shared" si="3"/>
        <v>14634.44</v>
      </c>
      <c r="D19" s="23">
        <f t="shared" si="0"/>
        <v>3766</v>
      </c>
      <c r="E19" s="23">
        <v>3766</v>
      </c>
      <c r="F19" s="23">
        <v>0</v>
      </c>
      <c r="G19" s="23">
        <f t="shared" si="1"/>
        <v>6417.4400000000005</v>
      </c>
      <c r="H19" s="23">
        <v>1715</v>
      </c>
      <c r="I19" s="85">
        <f>1-'Table 1.1.4'!M19</f>
        <v>0.81600000000000006</v>
      </c>
      <c r="J19" s="20">
        <f t="shared" si="2"/>
        <v>1399.44</v>
      </c>
      <c r="K19" s="23">
        <v>582</v>
      </c>
      <c r="L19" s="23">
        <v>248</v>
      </c>
      <c r="M19" s="23">
        <v>40</v>
      </c>
      <c r="N19" s="23">
        <v>3827</v>
      </c>
      <c r="O19" s="23">
        <v>321</v>
      </c>
      <c r="P19" s="23">
        <v>962</v>
      </c>
      <c r="Q19" s="23">
        <f t="shared" si="4"/>
        <v>3489</v>
      </c>
      <c r="R19" s="23">
        <v>237</v>
      </c>
      <c r="S19" s="23">
        <v>1367</v>
      </c>
      <c r="T19" s="23">
        <v>12827</v>
      </c>
      <c r="U19" s="177">
        <f t="shared" si="5"/>
        <v>1807.4400000000005</v>
      </c>
      <c r="V19" s="85">
        <f t="shared" si="6"/>
        <v>0.12350592164783897</v>
      </c>
    </row>
    <row r="20" spans="1:22" ht="12.75" customHeight="1">
      <c r="A20" s="58">
        <v>1973</v>
      </c>
      <c r="B20" s="23">
        <v>103365</v>
      </c>
      <c r="C20" s="23">
        <f t="shared" si="3"/>
        <v>16414.25</v>
      </c>
      <c r="D20" s="23">
        <f t="shared" si="0"/>
        <v>4490</v>
      </c>
      <c r="E20" s="23">
        <v>4490</v>
      </c>
      <c r="F20" s="23">
        <v>0</v>
      </c>
      <c r="G20" s="23">
        <f t="shared" si="1"/>
        <v>7162.25</v>
      </c>
      <c r="H20" s="23">
        <v>2051</v>
      </c>
      <c r="I20" s="85">
        <f>1-'Table 1.1.4'!M20</f>
        <v>0.75</v>
      </c>
      <c r="J20" s="20">
        <f t="shared" si="2"/>
        <v>1538.25</v>
      </c>
      <c r="K20" s="23">
        <v>691</v>
      </c>
      <c r="L20" s="23">
        <v>264</v>
      </c>
      <c r="M20" s="23">
        <v>41</v>
      </c>
      <c r="N20" s="23">
        <v>4282</v>
      </c>
      <c r="O20" s="23">
        <v>346</v>
      </c>
      <c r="P20" s="23">
        <v>1269</v>
      </c>
      <c r="Q20" s="23">
        <f t="shared" si="4"/>
        <v>3493</v>
      </c>
      <c r="R20" s="23">
        <v>248</v>
      </c>
      <c r="S20" s="23">
        <v>1403</v>
      </c>
      <c r="T20" s="23">
        <v>14797</v>
      </c>
      <c r="U20" s="177">
        <f t="shared" si="5"/>
        <v>1617.25</v>
      </c>
      <c r="V20" s="85">
        <f t="shared" si="6"/>
        <v>9.8527194358560402E-2</v>
      </c>
    </row>
    <row r="21" spans="1:22" ht="12.75" customHeight="1">
      <c r="A21" s="58">
        <v>1974</v>
      </c>
      <c r="B21" s="23">
        <v>117157</v>
      </c>
      <c r="C21" s="23">
        <f t="shared" si="3"/>
        <v>18462.724000000002</v>
      </c>
      <c r="D21" s="23">
        <f t="shared" si="0"/>
        <v>4797</v>
      </c>
      <c r="E21" s="23">
        <v>4797</v>
      </c>
      <c r="F21" s="23">
        <v>0</v>
      </c>
      <c r="G21" s="23">
        <f t="shared" si="1"/>
        <v>8298.7240000000002</v>
      </c>
      <c r="H21" s="23">
        <v>2382</v>
      </c>
      <c r="I21" s="85">
        <f>1-'Table 1.1.4'!M21</f>
        <v>0.78200000000000003</v>
      </c>
      <c r="J21" s="20">
        <f t="shared" si="2"/>
        <v>1862.7240000000002</v>
      </c>
      <c r="K21" s="23">
        <v>827</v>
      </c>
      <c r="L21" s="23">
        <v>282</v>
      </c>
      <c r="M21" s="23">
        <v>44</v>
      </c>
      <c r="N21" s="23">
        <v>4906</v>
      </c>
      <c r="O21" s="23">
        <v>377</v>
      </c>
      <c r="P21" s="23">
        <v>1615</v>
      </c>
      <c r="Q21" s="23">
        <f t="shared" si="4"/>
        <v>3752</v>
      </c>
      <c r="R21" s="23">
        <v>270</v>
      </c>
      <c r="S21" s="23">
        <v>1814</v>
      </c>
      <c r="T21" s="23">
        <v>16970</v>
      </c>
      <c r="U21" s="177">
        <f t="shared" si="5"/>
        <v>1492.724000000002</v>
      </c>
      <c r="V21" s="85">
        <f t="shared" si="6"/>
        <v>8.0850691371435857E-2</v>
      </c>
    </row>
    <row r="22" spans="1:22" ht="12.75" customHeight="1">
      <c r="A22" s="58">
        <v>1975</v>
      </c>
      <c r="B22" s="23">
        <v>133585</v>
      </c>
      <c r="C22" s="23">
        <f t="shared" si="3"/>
        <v>21197.517</v>
      </c>
      <c r="D22" s="23">
        <f t="shared" si="0"/>
        <v>6037</v>
      </c>
      <c r="E22" s="23">
        <v>6037</v>
      </c>
      <c r="F22" s="23">
        <v>0</v>
      </c>
      <c r="G22" s="23">
        <f t="shared" si="1"/>
        <v>9155.5169999999998</v>
      </c>
      <c r="H22" s="23">
        <v>2669</v>
      </c>
      <c r="I22" s="85">
        <f>1-'Table 1.1.4'!M22</f>
        <v>0.79300000000000004</v>
      </c>
      <c r="J22" s="20">
        <f t="shared" si="2"/>
        <v>2116.5170000000003</v>
      </c>
      <c r="K22" s="23">
        <v>1000</v>
      </c>
      <c r="L22" s="23">
        <v>290</v>
      </c>
      <c r="M22" s="23">
        <v>46</v>
      </c>
      <c r="N22" s="23">
        <v>5303</v>
      </c>
      <c r="O22" s="23">
        <v>400</v>
      </c>
      <c r="P22" s="23">
        <v>1924</v>
      </c>
      <c r="Q22" s="23">
        <f t="shared" si="4"/>
        <v>4081</v>
      </c>
      <c r="R22" s="23">
        <v>298</v>
      </c>
      <c r="S22" s="23">
        <v>1937</v>
      </c>
      <c r="T22" s="23">
        <v>19448</v>
      </c>
      <c r="U22" s="177">
        <f t="shared" si="5"/>
        <v>1749.5169999999998</v>
      </c>
      <c r="V22" s="85">
        <f t="shared" si="6"/>
        <v>8.2534053398801377E-2</v>
      </c>
    </row>
    <row r="23" spans="1:22" ht="12.75" customHeight="1">
      <c r="A23" s="58">
        <v>1976</v>
      </c>
      <c r="B23" s="23">
        <v>153011</v>
      </c>
      <c r="C23" s="23">
        <f t="shared" si="3"/>
        <v>22056.955000000002</v>
      </c>
      <c r="D23" s="23">
        <f t="shared" si="0"/>
        <v>6036</v>
      </c>
      <c r="E23" s="23">
        <v>6036</v>
      </c>
      <c r="F23" s="23">
        <v>0</v>
      </c>
      <c r="G23" s="23">
        <f t="shared" si="1"/>
        <v>9578.9549999999999</v>
      </c>
      <c r="H23" s="23">
        <v>3031</v>
      </c>
      <c r="I23" s="85">
        <f>1-'Table 1.1.4'!M23</f>
        <v>0.80499999999999994</v>
      </c>
      <c r="J23" s="20">
        <f t="shared" si="2"/>
        <v>2439.9549999999999</v>
      </c>
      <c r="K23" s="23">
        <v>1131</v>
      </c>
      <c r="L23" s="23">
        <v>322</v>
      </c>
      <c r="M23" s="23">
        <v>48</v>
      </c>
      <c r="N23" s="23">
        <v>5205</v>
      </c>
      <c r="O23" s="23">
        <v>433</v>
      </c>
      <c r="P23" s="23">
        <v>2104</v>
      </c>
      <c r="Q23" s="23">
        <f t="shared" si="4"/>
        <v>4338</v>
      </c>
      <c r="R23" s="23">
        <v>321</v>
      </c>
      <c r="S23" s="23">
        <v>2204</v>
      </c>
      <c r="T23" s="23">
        <v>20255</v>
      </c>
      <c r="U23" s="177">
        <f t="shared" si="5"/>
        <v>1801.9550000000017</v>
      </c>
      <c r="V23" s="85">
        <f t="shared" si="6"/>
        <v>8.1695546824119725E-2</v>
      </c>
    </row>
    <row r="24" spans="1:22" ht="12.75" customHeight="1">
      <c r="A24" s="58">
        <v>1977</v>
      </c>
      <c r="B24" s="23">
        <v>173979</v>
      </c>
      <c r="C24" s="23">
        <f t="shared" si="3"/>
        <v>25730.425999999999</v>
      </c>
      <c r="D24" s="23">
        <f t="shared" si="0"/>
        <v>7568</v>
      </c>
      <c r="E24" s="23">
        <v>7568</v>
      </c>
      <c r="F24" s="23">
        <v>0</v>
      </c>
      <c r="G24" s="23">
        <f t="shared" si="1"/>
        <v>10707.425999999999</v>
      </c>
      <c r="H24" s="23">
        <v>3506</v>
      </c>
      <c r="I24" s="85">
        <f>1-'Table 1.1.4'!M24</f>
        <v>0.82099999999999995</v>
      </c>
      <c r="J24" s="20">
        <f t="shared" si="2"/>
        <v>2878.4259999999999</v>
      </c>
      <c r="K24" s="23">
        <v>1281</v>
      </c>
      <c r="L24" s="23">
        <v>354</v>
      </c>
      <c r="M24" s="23">
        <v>49</v>
      </c>
      <c r="N24" s="23">
        <v>5636</v>
      </c>
      <c r="O24" s="23">
        <v>509</v>
      </c>
      <c r="P24" s="23">
        <v>2663</v>
      </c>
      <c r="Q24" s="23">
        <f t="shared" si="4"/>
        <v>4792</v>
      </c>
      <c r="R24" s="23">
        <v>377</v>
      </c>
      <c r="S24" s="23">
        <v>2123</v>
      </c>
      <c r="T24" s="23">
        <v>23276</v>
      </c>
      <c r="U24" s="177">
        <f t="shared" si="5"/>
        <v>2454.4259999999995</v>
      </c>
      <c r="V24" s="85">
        <f t="shared" si="6"/>
        <v>9.5390025800583311E-2</v>
      </c>
    </row>
    <row r="25" spans="1:22" ht="12.75" customHeight="1">
      <c r="A25" s="58">
        <v>1978</v>
      </c>
      <c r="B25" s="23">
        <v>195528</v>
      </c>
      <c r="C25" s="23">
        <f t="shared" si="3"/>
        <v>29026.164000000001</v>
      </c>
      <c r="D25" s="23">
        <f t="shared" si="0"/>
        <v>8547</v>
      </c>
      <c r="E25" s="23">
        <v>8547</v>
      </c>
      <c r="F25" s="23">
        <v>0</v>
      </c>
      <c r="G25" s="23">
        <f t="shared" si="1"/>
        <v>11910.164000000001</v>
      </c>
      <c r="H25" s="23">
        <v>4026</v>
      </c>
      <c r="I25" s="85">
        <f>1-'Table 1.1.4'!M25</f>
        <v>0.81400000000000006</v>
      </c>
      <c r="J25" s="20">
        <f t="shared" si="2"/>
        <v>3277.1640000000002</v>
      </c>
      <c r="K25" s="23">
        <v>1358</v>
      </c>
      <c r="L25" s="23">
        <v>371</v>
      </c>
      <c r="M25" s="23">
        <v>52</v>
      </c>
      <c r="N25" s="23">
        <v>6293</v>
      </c>
      <c r="O25" s="23">
        <v>559</v>
      </c>
      <c r="P25" s="23">
        <v>3434</v>
      </c>
      <c r="Q25" s="23">
        <f t="shared" si="4"/>
        <v>5135</v>
      </c>
      <c r="R25" s="23">
        <v>442</v>
      </c>
      <c r="S25" s="23">
        <v>2188</v>
      </c>
      <c r="T25" s="23">
        <v>26306</v>
      </c>
      <c r="U25" s="177">
        <f t="shared" si="5"/>
        <v>2720.1640000000007</v>
      </c>
      <c r="V25" s="85">
        <f t="shared" si="6"/>
        <v>9.3714209015011443E-2</v>
      </c>
    </row>
    <row r="26" spans="1:22" ht="12.75" customHeight="1">
      <c r="A26" s="58">
        <v>1979</v>
      </c>
      <c r="B26" s="23">
        <v>221658</v>
      </c>
      <c r="C26" s="23">
        <f t="shared" si="3"/>
        <v>33357.56</v>
      </c>
      <c r="D26" s="23">
        <f t="shared" si="0"/>
        <v>9627</v>
      </c>
      <c r="E26" s="23">
        <v>9627</v>
      </c>
      <c r="F26" s="23">
        <v>0</v>
      </c>
      <c r="G26" s="23">
        <f t="shared" si="1"/>
        <v>13684.560000000001</v>
      </c>
      <c r="H26" s="23">
        <v>4945</v>
      </c>
      <c r="I26" s="85">
        <f>1-'Table 1.1.4'!M26</f>
        <v>0.80800000000000005</v>
      </c>
      <c r="J26" s="20">
        <f t="shared" si="2"/>
        <v>3995.5600000000004</v>
      </c>
      <c r="K26" s="23">
        <v>1548</v>
      </c>
      <c r="L26" s="23">
        <v>436</v>
      </c>
      <c r="M26" s="23">
        <v>53</v>
      </c>
      <c r="N26" s="23">
        <v>7052</v>
      </c>
      <c r="O26" s="23">
        <v>600</v>
      </c>
      <c r="P26" s="23">
        <v>4267</v>
      </c>
      <c r="Q26" s="23">
        <f t="shared" si="4"/>
        <v>5779</v>
      </c>
      <c r="R26" s="23">
        <v>469</v>
      </c>
      <c r="S26" s="23">
        <v>2525</v>
      </c>
      <c r="T26" s="23">
        <v>30310</v>
      </c>
      <c r="U26" s="177">
        <f t="shared" si="5"/>
        <v>3047.5599999999977</v>
      </c>
      <c r="V26" s="85">
        <f t="shared" si="6"/>
        <v>9.1360399261816452E-2</v>
      </c>
    </row>
    <row r="27" spans="1:22" ht="18" customHeight="1">
      <c r="A27" s="58">
        <v>1980</v>
      </c>
      <c r="B27" s="23">
        <v>255784</v>
      </c>
      <c r="C27" s="23">
        <f t="shared" si="3"/>
        <v>38135.284</v>
      </c>
      <c r="D27" s="23">
        <f t="shared" si="0"/>
        <v>11511</v>
      </c>
      <c r="E27" s="23">
        <v>11511</v>
      </c>
      <c r="F27" s="23">
        <v>0</v>
      </c>
      <c r="G27" s="23">
        <f t="shared" si="1"/>
        <v>15067.284</v>
      </c>
      <c r="H27" s="23">
        <v>5606</v>
      </c>
      <c r="I27" s="85">
        <f>1-'Table 1.1.4'!M27</f>
        <v>0.81400000000000006</v>
      </c>
      <c r="J27" s="20">
        <f t="shared" si="2"/>
        <v>4563.2840000000006</v>
      </c>
      <c r="K27" s="23">
        <v>1899</v>
      </c>
      <c r="L27" s="23">
        <v>520</v>
      </c>
      <c r="M27" s="23">
        <v>53</v>
      </c>
      <c r="N27" s="23">
        <v>7369</v>
      </c>
      <c r="O27" s="23">
        <v>663</v>
      </c>
      <c r="P27" s="23">
        <v>5210</v>
      </c>
      <c r="Q27" s="23">
        <f t="shared" si="4"/>
        <v>6347</v>
      </c>
      <c r="R27" s="23">
        <v>520</v>
      </c>
      <c r="S27" s="23">
        <v>2932</v>
      </c>
      <c r="T27" s="23">
        <v>34805</v>
      </c>
      <c r="U27" s="177">
        <f t="shared" si="5"/>
        <v>3330.2839999999997</v>
      </c>
      <c r="V27" s="85">
        <f t="shared" si="6"/>
        <v>8.7328155206606028E-2</v>
      </c>
    </row>
    <row r="28" spans="1:22" ht="12.75" customHeight="1">
      <c r="A28" s="58">
        <v>1981</v>
      </c>
      <c r="B28" s="23">
        <v>296739</v>
      </c>
      <c r="C28" s="23">
        <f t="shared" si="3"/>
        <v>43554.680999999997</v>
      </c>
      <c r="D28" s="23">
        <f t="shared" si="0"/>
        <v>13405</v>
      </c>
      <c r="E28" s="23">
        <v>13405</v>
      </c>
      <c r="F28" s="23">
        <v>0</v>
      </c>
      <c r="G28" s="23">
        <f t="shared" si="1"/>
        <v>17107.681</v>
      </c>
      <c r="H28" s="23">
        <v>6189</v>
      </c>
      <c r="I28" s="85">
        <f>1-'Table 1.1.4'!M28</f>
        <v>0.82899999999999996</v>
      </c>
      <c r="J28" s="20">
        <f t="shared" si="2"/>
        <v>5130.6809999999996</v>
      </c>
      <c r="K28" s="23">
        <v>2226</v>
      </c>
      <c r="L28" s="23">
        <v>540</v>
      </c>
      <c r="M28" s="23">
        <v>57</v>
      </c>
      <c r="N28" s="23">
        <v>8446</v>
      </c>
      <c r="O28" s="23">
        <v>708</v>
      </c>
      <c r="P28" s="23">
        <v>6316</v>
      </c>
      <c r="Q28" s="23">
        <f t="shared" si="4"/>
        <v>6726</v>
      </c>
      <c r="R28" s="23">
        <v>602</v>
      </c>
      <c r="S28" s="23">
        <v>2995</v>
      </c>
      <c r="T28" s="23">
        <v>39477</v>
      </c>
      <c r="U28" s="177">
        <f t="shared" si="5"/>
        <v>4077.6809999999969</v>
      </c>
      <c r="V28" s="85">
        <f t="shared" si="6"/>
        <v>9.3622106886743064E-2</v>
      </c>
    </row>
    <row r="29" spans="1:22" ht="12.75" customHeight="1">
      <c r="A29" s="58">
        <v>1982</v>
      </c>
      <c r="B29" s="23">
        <v>334699</v>
      </c>
      <c r="C29" s="23">
        <f t="shared" si="3"/>
        <v>47740.146999999997</v>
      </c>
      <c r="D29" s="23">
        <f t="shared" si="0"/>
        <v>14168</v>
      </c>
      <c r="E29" s="23">
        <v>14168</v>
      </c>
      <c r="F29" s="23">
        <v>0</v>
      </c>
      <c r="G29" s="23">
        <f t="shared" si="1"/>
        <v>18826.147000000001</v>
      </c>
      <c r="H29" s="23">
        <v>6929</v>
      </c>
      <c r="I29" s="85">
        <f>1-'Table 1.1.4'!M29</f>
        <v>0.84299999999999997</v>
      </c>
      <c r="J29" s="20">
        <f t="shared" si="2"/>
        <v>5841.1469999999999</v>
      </c>
      <c r="K29" s="23">
        <v>2437</v>
      </c>
      <c r="L29" s="23">
        <v>593</v>
      </c>
      <c r="M29" s="23">
        <v>61</v>
      </c>
      <c r="N29" s="23">
        <v>9141</v>
      </c>
      <c r="O29" s="23">
        <v>753</v>
      </c>
      <c r="P29" s="23">
        <v>7480</v>
      </c>
      <c r="Q29" s="23">
        <f t="shared" si="4"/>
        <v>7266</v>
      </c>
      <c r="R29" s="23">
        <v>680</v>
      </c>
      <c r="S29" s="23">
        <v>3252</v>
      </c>
      <c r="T29" s="23">
        <v>43622</v>
      </c>
      <c r="U29" s="177">
        <f t="shared" si="5"/>
        <v>4118.1469999999972</v>
      </c>
      <c r="V29" s="85">
        <f t="shared" si="6"/>
        <v>8.6261715951565829E-2</v>
      </c>
    </row>
    <row r="30" spans="1:22" ht="12.75" customHeight="1">
      <c r="A30" s="58">
        <v>1983</v>
      </c>
      <c r="B30" s="23">
        <v>368987</v>
      </c>
      <c r="C30" s="23">
        <f t="shared" si="3"/>
        <v>54082.535000000003</v>
      </c>
      <c r="D30" s="23">
        <f t="shared" si="0"/>
        <v>15679</v>
      </c>
      <c r="E30" s="23">
        <v>15679</v>
      </c>
      <c r="F30" s="23">
        <v>0</v>
      </c>
      <c r="G30" s="23">
        <f t="shared" si="1"/>
        <v>19935.535</v>
      </c>
      <c r="H30" s="23">
        <v>7285</v>
      </c>
      <c r="I30" s="85">
        <f>1-'Table 1.1.4'!M30</f>
        <v>0.85099999999999998</v>
      </c>
      <c r="J30" s="20">
        <f t="shared" si="2"/>
        <v>6199.5349999999999</v>
      </c>
      <c r="K30" s="23">
        <v>2649</v>
      </c>
      <c r="L30" s="23">
        <v>683</v>
      </c>
      <c r="M30" s="23">
        <v>62</v>
      </c>
      <c r="N30" s="23">
        <v>9547</v>
      </c>
      <c r="O30" s="23">
        <v>795</v>
      </c>
      <c r="P30" s="23">
        <v>8019</v>
      </c>
      <c r="Q30" s="23">
        <f t="shared" ref="Q30:Q49" si="7">R30+S50</f>
        <v>10449</v>
      </c>
      <c r="R30" s="23">
        <v>756</v>
      </c>
      <c r="S30" s="23">
        <v>3245</v>
      </c>
      <c r="T30" s="23">
        <v>47116</v>
      </c>
      <c r="U30" s="177">
        <f t="shared" si="5"/>
        <v>6966.5350000000035</v>
      </c>
      <c r="V30" s="85">
        <f t="shared" si="6"/>
        <v>0.12881302623850754</v>
      </c>
    </row>
    <row r="31" spans="1:22" ht="12.75" customHeight="1">
      <c r="A31" s="58">
        <v>1984</v>
      </c>
      <c r="B31" s="23">
        <v>406512</v>
      </c>
      <c r="C31" s="23">
        <f t="shared" si="3"/>
        <v>57656.764999999999</v>
      </c>
      <c r="D31" s="23">
        <f t="shared" si="0"/>
        <v>17137</v>
      </c>
      <c r="E31" s="23">
        <v>17137</v>
      </c>
      <c r="F31" s="23">
        <v>0</v>
      </c>
      <c r="G31" s="23">
        <f t="shared" si="1"/>
        <v>20801.764999999999</v>
      </c>
      <c r="H31" s="23">
        <v>7661</v>
      </c>
      <c r="I31" s="85">
        <f>1-'Table 1.1.4'!M31</f>
        <v>0.86499999999999999</v>
      </c>
      <c r="J31" s="20">
        <f t="shared" si="2"/>
        <v>6626.7650000000003</v>
      </c>
      <c r="K31" s="23">
        <v>2875</v>
      </c>
      <c r="L31" s="23">
        <v>763</v>
      </c>
      <c r="M31" s="23">
        <v>62</v>
      </c>
      <c r="N31" s="23">
        <v>9628</v>
      </c>
      <c r="O31" s="23">
        <v>847</v>
      </c>
      <c r="P31" s="23">
        <v>8544</v>
      </c>
      <c r="Q31" s="23">
        <f t="shared" si="7"/>
        <v>11174</v>
      </c>
      <c r="R31" s="23">
        <v>832</v>
      </c>
      <c r="S31" s="23">
        <v>3482</v>
      </c>
      <c r="T31" s="23">
        <v>49762</v>
      </c>
      <c r="U31" s="177">
        <f t="shared" si="5"/>
        <v>7894.7649999999994</v>
      </c>
      <c r="V31" s="85">
        <f t="shared" si="6"/>
        <v>0.13692695037607469</v>
      </c>
    </row>
    <row r="32" spans="1:22" ht="12.75" customHeight="1">
      <c r="A32" s="58">
        <v>1985</v>
      </c>
      <c r="B32" s="23">
        <v>444608</v>
      </c>
      <c r="C32" s="23">
        <f t="shared" si="3"/>
        <v>63592.623</v>
      </c>
      <c r="D32" s="23">
        <f t="shared" si="0"/>
        <v>18343</v>
      </c>
      <c r="E32" s="23">
        <v>18343</v>
      </c>
      <c r="F32" s="23">
        <v>0</v>
      </c>
      <c r="G32" s="23">
        <f t="shared" si="1"/>
        <v>23101.623</v>
      </c>
      <c r="H32" s="23">
        <v>8937</v>
      </c>
      <c r="I32" s="85">
        <f>1-'Table 1.1.4'!M32</f>
        <v>0.879</v>
      </c>
      <c r="J32" s="20">
        <f t="shared" si="2"/>
        <v>7855.6229999999996</v>
      </c>
      <c r="K32" s="23">
        <v>3189</v>
      </c>
      <c r="L32" s="23">
        <v>883</v>
      </c>
      <c r="M32" s="23">
        <v>62</v>
      </c>
      <c r="N32" s="23">
        <v>10193</v>
      </c>
      <c r="O32" s="23">
        <v>919</v>
      </c>
      <c r="P32" s="23">
        <v>9886</v>
      </c>
      <c r="Q32" s="23">
        <f t="shared" si="7"/>
        <v>12262</v>
      </c>
      <c r="R32" s="23">
        <v>951</v>
      </c>
      <c r="S32" s="23">
        <v>3783</v>
      </c>
      <c r="T32" s="23">
        <v>54299</v>
      </c>
      <c r="U32" s="177">
        <f t="shared" si="5"/>
        <v>9293.6229999999996</v>
      </c>
      <c r="V32" s="85">
        <f t="shared" si="6"/>
        <v>0.14614309901951991</v>
      </c>
    </row>
    <row r="33" spans="1:22" ht="12.75" customHeight="1">
      <c r="A33" s="58">
        <v>1986</v>
      </c>
      <c r="B33" s="23">
        <v>476892</v>
      </c>
      <c r="C33" s="23">
        <f t="shared" si="3"/>
        <v>70604.953000000009</v>
      </c>
      <c r="D33" s="23">
        <f t="shared" si="0"/>
        <v>20196</v>
      </c>
      <c r="E33" s="23">
        <v>20196</v>
      </c>
      <c r="F33" s="23">
        <v>0</v>
      </c>
      <c r="G33" s="23">
        <f t="shared" si="1"/>
        <v>26886.953000000001</v>
      </c>
      <c r="H33" s="23">
        <v>10083</v>
      </c>
      <c r="I33" s="85">
        <f>1-'Table 1.1.4'!M33</f>
        <v>0.89100000000000001</v>
      </c>
      <c r="J33" s="20">
        <f t="shared" si="2"/>
        <v>8983.9529999999995</v>
      </c>
      <c r="K33" s="23">
        <v>3422</v>
      </c>
      <c r="L33" s="23">
        <v>996</v>
      </c>
      <c r="M33" s="23">
        <v>63</v>
      </c>
      <c r="N33" s="23">
        <v>12436</v>
      </c>
      <c r="O33" s="23">
        <v>986</v>
      </c>
      <c r="P33" s="23">
        <v>11047</v>
      </c>
      <c r="Q33" s="23">
        <f t="shared" si="7"/>
        <v>12475</v>
      </c>
      <c r="R33" s="23">
        <v>1107</v>
      </c>
      <c r="S33" s="23">
        <v>4017</v>
      </c>
      <c r="T33" s="23">
        <v>61177</v>
      </c>
      <c r="U33" s="177">
        <f t="shared" si="5"/>
        <v>9427.9530000000086</v>
      </c>
      <c r="V33" s="85">
        <f t="shared" si="6"/>
        <v>0.13353104278675756</v>
      </c>
    </row>
    <row r="34" spans="1:22" ht="12.75" customHeight="1">
      <c r="A34" s="58">
        <v>1987</v>
      </c>
      <c r="B34" s="23">
        <v>519117</v>
      </c>
      <c r="C34" s="23">
        <f t="shared" si="3"/>
        <v>79019.157999999996</v>
      </c>
      <c r="D34" s="23">
        <f t="shared" si="0"/>
        <v>22471</v>
      </c>
      <c r="E34" s="23">
        <v>22471</v>
      </c>
      <c r="F34" s="23">
        <v>0</v>
      </c>
      <c r="G34" s="23">
        <f t="shared" si="1"/>
        <v>30222.157999999999</v>
      </c>
      <c r="H34" s="23">
        <v>11958</v>
      </c>
      <c r="I34" s="85">
        <f>1-'Table 1.1.4'!M34</f>
        <v>0.90100000000000002</v>
      </c>
      <c r="J34" s="20">
        <f t="shared" si="2"/>
        <v>10774.157999999999</v>
      </c>
      <c r="K34" s="23">
        <v>3552</v>
      </c>
      <c r="L34" s="23">
        <v>1078</v>
      </c>
      <c r="M34" s="23">
        <v>66</v>
      </c>
      <c r="N34" s="23">
        <v>13712</v>
      </c>
      <c r="O34" s="23">
        <v>1040</v>
      </c>
      <c r="P34" s="23">
        <v>12043</v>
      </c>
      <c r="Q34" s="23">
        <f t="shared" si="7"/>
        <v>14283</v>
      </c>
      <c r="R34" s="23">
        <v>1236</v>
      </c>
      <c r="S34" s="23">
        <v>4415</v>
      </c>
      <c r="T34" s="23">
        <v>68387</v>
      </c>
      <c r="U34" s="177">
        <f t="shared" si="5"/>
        <v>10632.157999999996</v>
      </c>
      <c r="V34" s="85">
        <f t="shared" si="6"/>
        <v>0.13455164885457266</v>
      </c>
    </row>
    <row r="35" spans="1:22" ht="12.75" customHeight="1">
      <c r="A35" s="58">
        <v>1988</v>
      </c>
      <c r="B35" s="23">
        <v>581698</v>
      </c>
      <c r="C35" s="23">
        <f t="shared" si="3"/>
        <v>86532.56</v>
      </c>
      <c r="D35" s="23">
        <f t="shared" si="0"/>
        <v>24085</v>
      </c>
      <c r="E35" s="23">
        <v>24085</v>
      </c>
      <c r="F35" s="23">
        <v>0</v>
      </c>
      <c r="G35" s="23">
        <f t="shared" si="1"/>
        <v>33384.559999999998</v>
      </c>
      <c r="H35" s="23">
        <v>13816</v>
      </c>
      <c r="I35" s="85">
        <f>1-'Table 1.1.4'!M35</f>
        <v>0.91</v>
      </c>
      <c r="J35" s="20">
        <f t="shared" si="2"/>
        <v>12572.560000000001</v>
      </c>
      <c r="K35" s="23">
        <v>3742</v>
      </c>
      <c r="L35" s="23">
        <v>1121</v>
      </c>
      <c r="M35" s="23">
        <v>68</v>
      </c>
      <c r="N35" s="23">
        <v>14782</v>
      </c>
      <c r="O35" s="23">
        <v>1099</v>
      </c>
      <c r="P35" s="23">
        <v>13472</v>
      </c>
      <c r="Q35" s="23">
        <f t="shared" si="7"/>
        <v>15591</v>
      </c>
      <c r="R35" s="23">
        <v>1379</v>
      </c>
      <c r="S35" s="23">
        <v>4693</v>
      </c>
      <c r="T35" s="23">
        <v>74680</v>
      </c>
      <c r="U35" s="177">
        <f t="shared" si="5"/>
        <v>11852.559999999998</v>
      </c>
      <c r="V35" s="85">
        <f t="shared" si="6"/>
        <v>0.13697225645468017</v>
      </c>
    </row>
    <row r="36" spans="1:22" ht="12.75" customHeight="1">
      <c r="A36" s="58">
        <v>1989</v>
      </c>
      <c r="B36" s="23">
        <v>647465</v>
      </c>
      <c r="C36" s="23">
        <f t="shared" si="3"/>
        <v>93714.48000000001</v>
      </c>
      <c r="D36" s="23">
        <f t="shared" si="0"/>
        <v>26876</v>
      </c>
      <c r="E36" s="23">
        <v>26876</v>
      </c>
      <c r="F36" s="23">
        <v>0</v>
      </c>
      <c r="G36" s="23">
        <f t="shared" si="1"/>
        <v>35839.480000000003</v>
      </c>
      <c r="H36" s="23">
        <v>15519</v>
      </c>
      <c r="I36" s="85">
        <f>1-'Table 1.1.4'!M36</f>
        <v>0.92</v>
      </c>
      <c r="J36" s="20">
        <f t="shared" si="2"/>
        <v>14277.480000000001</v>
      </c>
      <c r="K36" s="23">
        <v>4138</v>
      </c>
      <c r="L36" s="23">
        <v>1128</v>
      </c>
      <c r="M36" s="23">
        <v>70</v>
      </c>
      <c r="N36" s="23">
        <v>15041</v>
      </c>
      <c r="O36" s="23">
        <v>1185</v>
      </c>
      <c r="P36" s="23">
        <v>15745</v>
      </c>
      <c r="Q36" s="23">
        <f t="shared" si="7"/>
        <v>15254</v>
      </c>
      <c r="R36" s="23">
        <v>1542</v>
      </c>
      <c r="S36" s="23">
        <v>5310</v>
      </c>
      <c r="T36" s="23">
        <v>82250</v>
      </c>
      <c r="U36" s="177">
        <f t="shared" si="5"/>
        <v>11464.48000000001</v>
      </c>
      <c r="V36" s="85">
        <f t="shared" si="6"/>
        <v>0.122334136624351</v>
      </c>
    </row>
    <row r="37" spans="1:22" ht="18" customHeight="1">
      <c r="A37" s="58">
        <v>1990</v>
      </c>
      <c r="B37" s="23">
        <v>724278</v>
      </c>
      <c r="C37" s="23">
        <f t="shared" si="3"/>
        <v>103383.72</v>
      </c>
      <c r="D37" s="23">
        <f t="shared" si="0"/>
        <v>31054</v>
      </c>
      <c r="E37" s="23">
        <v>31054</v>
      </c>
      <c r="F37" s="23">
        <v>0</v>
      </c>
      <c r="G37" s="23">
        <f t="shared" si="1"/>
        <v>39747.72</v>
      </c>
      <c r="H37" s="23">
        <v>17530</v>
      </c>
      <c r="I37" s="85">
        <f>1-'Table 1.1.4'!M37</f>
        <v>0.92400000000000004</v>
      </c>
      <c r="J37" s="20">
        <f t="shared" si="2"/>
        <v>16197.720000000001</v>
      </c>
      <c r="K37" s="23">
        <v>5033</v>
      </c>
      <c r="L37" s="23">
        <v>1171</v>
      </c>
      <c r="M37" s="23">
        <v>72</v>
      </c>
      <c r="N37" s="23">
        <v>15981</v>
      </c>
      <c r="O37" s="23">
        <v>1293</v>
      </c>
      <c r="P37" s="23">
        <v>17734</v>
      </c>
      <c r="Q37" s="23">
        <f t="shared" si="7"/>
        <v>14848</v>
      </c>
      <c r="R37" s="23">
        <v>1737</v>
      </c>
      <c r="S37" s="23">
        <v>5827</v>
      </c>
      <c r="T37" s="23">
        <v>92861</v>
      </c>
      <c r="U37" s="177">
        <f t="shared" si="5"/>
        <v>10522.720000000001</v>
      </c>
      <c r="V37" s="85">
        <f t="shared" si="6"/>
        <v>0.10178314341948617</v>
      </c>
    </row>
    <row r="38" spans="1:22" ht="12.75" customHeight="1">
      <c r="A38" s="58">
        <v>1991</v>
      </c>
      <c r="B38" s="23">
        <v>791525</v>
      </c>
      <c r="C38" s="23">
        <f t="shared" si="3"/>
        <v>113134.982</v>
      </c>
      <c r="D38" s="23">
        <f t="shared" si="0"/>
        <v>36364</v>
      </c>
      <c r="E38" s="23">
        <v>36364</v>
      </c>
      <c r="F38" s="23">
        <v>0</v>
      </c>
      <c r="G38" s="23">
        <f t="shared" si="1"/>
        <v>41763.982000000004</v>
      </c>
      <c r="H38" s="23">
        <v>18958</v>
      </c>
      <c r="I38" s="85">
        <f>1-'Table 1.1.4'!M38</f>
        <v>0.92900000000000005</v>
      </c>
      <c r="J38" s="20">
        <f t="shared" si="2"/>
        <v>17611.982</v>
      </c>
      <c r="K38" s="23">
        <v>5187</v>
      </c>
      <c r="L38" s="23">
        <v>1303</v>
      </c>
      <c r="M38" s="23">
        <v>75</v>
      </c>
      <c r="N38" s="23">
        <v>16224</v>
      </c>
      <c r="O38" s="23">
        <v>1363</v>
      </c>
      <c r="P38" s="23">
        <v>19522</v>
      </c>
      <c r="Q38" s="23">
        <f t="shared" si="7"/>
        <v>15485</v>
      </c>
      <c r="R38" s="23">
        <v>1874</v>
      </c>
      <c r="S38" s="23">
        <v>6124</v>
      </c>
      <c r="T38" s="23">
        <v>102064</v>
      </c>
      <c r="U38" s="177">
        <f t="shared" si="5"/>
        <v>11070.982000000004</v>
      </c>
      <c r="V38" s="85">
        <f t="shared" si="6"/>
        <v>9.7856399535203031E-2</v>
      </c>
    </row>
    <row r="39" spans="1:22" ht="12.75" customHeight="1">
      <c r="A39" s="58">
        <v>1992</v>
      </c>
      <c r="B39" s="23">
        <v>857910</v>
      </c>
      <c r="C39" s="23">
        <f t="shared" si="3"/>
        <v>107164.9</v>
      </c>
      <c r="D39" s="23">
        <f t="shared" si="0"/>
        <v>39585</v>
      </c>
      <c r="E39" s="23">
        <v>39585</v>
      </c>
      <c r="F39" s="23">
        <v>0</v>
      </c>
      <c r="G39" s="23">
        <f t="shared" si="1"/>
        <v>44139.9</v>
      </c>
      <c r="H39" s="23">
        <v>21100</v>
      </c>
      <c r="I39" s="85">
        <f>1-'Table 1.1.4'!M39</f>
        <v>0.92900000000000005</v>
      </c>
      <c r="J39" s="20">
        <f t="shared" si="2"/>
        <v>19601.900000000001</v>
      </c>
      <c r="K39" s="23">
        <v>5531</v>
      </c>
      <c r="L39" s="23">
        <v>1413</v>
      </c>
      <c r="M39" s="23">
        <v>79</v>
      </c>
      <c r="N39" s="23">
        <v>16099</v>
      </c>
      <c r="O39" s="23">
        <v>1416</v>
      </c>
      <c r="P39" s="23">
        <v>21459</v>
      </c>
      <c r="Q39" s="23">
        <f t="shared" si="7"/>
        <v>1981</v>
      </c>
      <c r="R39" s="23">
        <v>1981</v>
      </c>
      <c r="S39" s="23">
        <v>6586</v>
      </c>
      <c r="T39" s="23">
        <v>110629</v>
      </c>
      <c r="U39" s="177">
        <f t="shared" si="5"/>
        <v>-3464.1000000000058</v>
      </c>
      <c r="V39" s="85">
        <f t="shared" si="6"/>
        <v>-3.2324949680352488E-2</v>
      </c>
    </row>
    <row r="40" spans="1:22" ht="12.75" customHeight="1">
      <c r="A40" s="58">
        <v>1993</v>
      </c>
      <c r="B40" s="23">
        <v>921492</v>
      </c>
      <c r="C40" s="23">
        <f t="shared" si="3"/>
        <v>117594.08199999999</v>
      </c>
      <c r="D40" s="23">
        <f t="shared" si="0"/>
        <v>45412</v>
      </c>
      <c r="E40" s="23">
        <v>45412</v>
      </c>
      <c r="F40" s="23">
        <v>0</v>
      </c>
      <c r="G40" s="23">
        <f t="shared" si="1"/>
        <v>46520.082000000002</v>
      </c>
      <c r="H40" s="23">
        <v>22607</v>
      </c>
      <c r="I40" s="85">
        <f>1-'Table 1.1.4'!M40</f>
        <v>0.92600000000000005</v>
      </c>
      <c r="J40" s="20">
        <f t="shared" si="2"/>
        <v>20934.082000000002</v>
      </c>
      <c r="K40" s="23">
        <v>5037</v>
      </c>
      <c r="L40" s="23">
        <v>1485</v>
      </c>
      <c r="M40" s="23">
        <v>85</v>
      </c>
      <c r="N40" s="23">
        <v>17426</v>
      </c>
      <c r="O40" s="23">
        <v>1553</v>
      </c>
      <c r="P40" s="23">
        <v>23613</v>
      </c>
      <c r="Q40" s="23">
        <f t="shared" si="7"/>
        <v>2049</v>
      </c>
      <c r="R40" s="23">
        <v>2049</v>
      </c>
      <c r="S40" s="23">
        <v>6955</v>
      </c>
      <c r="T40" s="23">
        <v>120753</v>
      </c>
      <c r="U40" s="177">
        <f t="shared" si="5"/>
        <v>-3158.9180000000051</v>
      </c>
      <c r="V40" s="85">
        <f t="shared" si="6"/>
        <v>-2.6862899444208471E-2</v>
      </c>
    </row>
    <row r="41" spans="1:22" ht="12.75" customHeight="1">
      <c r="A41" s="58">
        <v>1994</v>
      </c>
      <c r="B41" s="23">
        <v>972687</v>
      </c>
      <c r="C41" s="23" t="e">
        <f t="shared" si="3"/>
        <v>#REF!</v>
      </c>
      <c r="D41" s="23">
        <f t="shared" si="0"/>
        <v>53363</v>
      </c>
      <c r="E41" s="23">
        <v>53363</v>
      </c>
      <c r="F41" s="23">
        <v>0</v>
      </c>
      <c r="G41" s="23">
        <f t="shared" si="1"/>
        <v>47904.203000000001</v>
      </c>
      <c r="H41" s="23">
        <v>22189</v>
      </c>
      <c r="I41" s="85">
        <f>1-'Table 1.1.4'!M41</f>
        <v>0.92700000000000005</v>
      </c>
      <c r="J41" s="20">
        <f t="shared" si="2"/>
        <v>20569.203000000001</v>
      </c>
      <c r="K41" s="23">
        <v>5451</v>
      </c>
      <c r="L41" s="23">
        <v>1558</v>
      </c>
      <c r="M41" s="23">
        <v>89</v>
      </c>
      <c r="N41" s="23">
        <v>18536</v>
      </c>
      <c r="O41" s="23">
        <v>1701</v>
      </c>
      <c r="P41" s="23">
        <v>25964</v>
      </c>
      <c r="Q41" s="23" t="e">
        <f>R41+#REF!</f>
        <v>#REF!</v>
      </c>
      <c r="R41" s="23">
        <v>2177</v>
      </c>
      <c r="S41" s="23">
        <v>6666</v>
      </c>
      <c r="T41" s="23">
        <v>131638</v>
      </c>
      <c r="U41" s="177" t="e">
        <f t="shared" si="5"/>
        <v>#REF!</v>
      </c>
      <c r="V41" s="85" t="e">
        <f t="shared" si="6"/>
        <v>#REF!</v>
      </c>
    </row>
    <row r="42" spans="1:22" ht="12.75" customHeight="1">
      <c r="A42" s="58">
        <v>1995</v>
      </c>
      <c r="B42" s="23">
        <v>1027432</v>
      </c>
      <c r="C42" s="23">
        <f t="shared" si="3"/>
        <v>135511.364</v>
      </c>
      <c r="D42" s="23">
        <f t="shared" si="0"/>
        <v>58917</v>
      </c>
      <c r="E42" s="23">
        <v>58917</v>
      </c>
      <c r="F42" s="23">
        <v>0</v>
      </c>
      <c r="G42" s="23">
        <f t="shared" si="1"/>
        <v>46882.364000000001</v>
      </c>
      <c r="H42" s="23">
        <v>21914</v>
      </c>
      <c r="I42" s="85">
        <f>1-'Table 1.1.4'!M42</f>
        <v>0.92600000000000005</v>
      </c>
      <c r="J42" s="20">
        <f t="shared" si="2"/>
        <v>20292.364000000001</v>
      </c>
      <c r="K42" s="23">
        <v>5437</v>
      </c>
      <c r="L42" s="23">
        <v>1603</v>
      </c>
      <c r="M42" s="23">
        <v>89</v>
      </c>
      <c r="N42" s="23">
        <v>17676</v>
      </c>
      <c r="O42" s="23">
        <v>1785</v>
      </c>
      <c r="P42" s="23">
        <v>27338</v>
      </c>
      <c r="Q42" s="23">
        <f t="shared" si="7"/>
        <v>2374</v>
      </c>
      <c r="R42" s="23">
        <v>2374</v>
      </c>
      <c r="S42" s="23">
        <v>6821</v>
      </c>
      <c r="T42" s="23">
        <v>137516</v>
      </c>
      <c r="U42" s="177">
        <f t="shared" si="5"/>
        <v>-2004.6359999999986</v>
      </c>
      <c r="V42" s="85">
        <f t="shared" si="6"/>
        <v>-1.4793120966592873E-2</v>
      </c>
    </row>
    <row r="43" spans="1:22" ht="12.75" customHeight="1">
      <c r="A43" s="58">
        <v>1996</v>
      </c>
      <c r="B43" s="23">
        <v>1081849</v>
      </c>
      <c r="C43" s="23">
        <f t="shared" si="3"/>
        <v>139412.35</v>
      </c>
      <c r="D43" s="23">
        <f t="shared" si="0"/>
        <v>61071</v>
      </c>
      <c r="E43" s="23">
        <v>61071</v>
      </c>
      <c r="F43" s="23">
        <v>0</v>
      </c>
      <c r="G43" s="23">
        <f t="shared" si="1"/>
        <v>47145.350000000006</v>
      </c>
      <c r="H43" s="23">
        <v>22050</v>
      </c>
      <c r="I43" s="85">
        <f>1-'Table 1.1.4'!M43</f>
        <v>0.92700000000000005</v>
      </c>
      <c r="J43" s="20">
        <f t="shared" si="2"/>
        <v>20440.350000000002</v>
      </c>
      <c r="K43" s="23">
        <v>5414</v>
      </c>
      <c r="L43" s="23">
        <v>1664</v>
      </c>
      <c r="M43" s="23">
        <v>89</v>
      </c>
      <c r="N43" s="23">
        <v>17648</v>
      </c>
      <c r="O43" s="23">
        <v>1890</v>
      </c>
      <c r="P43" s="23">
        <v>28618</v>
      </c>
      <c r="Q43" s="23">
        <f t="shared" si="7"/>
        <v>2578</v>
      </c>
      <c r="R43" s="23">
        <v>2578</v>
      </c>
      <c r="S43" s="23">
        <v>6853</v>
      </c>
      <c r="T43" s="23">
        <v>140317</v>
      </c>
      <c r="U43" s="177">
        <f t="shared" si="5"/>
        <v>-904.64999999999418</v>
      </c>
      <c r="V43" s="85">
        <f t="shared" si="6"/>
        <v>-6.4890233899650507E-3</v>
      </c>
    </row>
    <row r="44" spans="1:22" ht="12.75" customHeight="1">
      <c r="A44" s="58">
        <v>1997</v>
      </c>
      <c r="B44" s="23">
        <v>1142621</v>
      </c>
      <c r="C44" s="23">
        <f t="shared" si="3"/>
        <v>147266.76</v>
      </c>
      <c r="D44" s="23">
        <f t="shared" si="0"/>
        <v>65896</v>
      </c>
      <c r="E44" s="23">
        <v>65896</v>
      </c>
      <c r="F44" s="23">
        <v>0</v>
      </c>
      <c r="G44" s="23">
        <f t="shared" si="1"/>
        <v>47736.759999999995</v>
      </c>
      <c r="H44" s="23">
        <v>22140</v>
      </c>
      <c r="I44" s="85">
        <f>1-'Table 1.1.4'!M44</f>
        <v>0.93399999999999994</v>
      </c>
      <c r="J44" s="20">
        <f t="shared" si="2"/>
        <v>20678.759999999998</v>
      </c>
      <c r="K44" s="23">
        <v>5167</v>
      </c>
      <c r="L44" s="23">
        <v>1777</v>
      </c>
      <c r="M44" s="23">
        <v>91</v>
      </c>
      <c r="N44" s="23">
        <v>17986</v>
      </c>
      <c r="O44" s="23">
        <v>2037</v>
      </c>
      <c r="P44" s="23">
        <v>30901</v>
      </c>
      <c r="Q44" s="23">
        <f t="shared" si="7"/>
        <v>2733</v>
      </c>
      <c r="R44" s="23">
        <v>2733</v>
      </c>
      <c r="S44" s="23">
        <v>7491</v>
      </c>
      <c r="T44" s="23">
        <v>146272</v>
      </c>
      <c r="U44" s="177">
        <f t="shared" si="5"/>
        <v>994.76000000000931</v>
      </c>
      <c r="V44" s="85">
        <f t="shared" si="6"/>
        <v>6.7548169050504628E-3</v>
      </c>
    </row>
    <row r="45" spans="1:22" ht="12.75" customHeight="1">
      <c r="A45" s="58">
        <v>1998</v>
      </c>
      <c r="B45" s="23">
        <v>1208933</v>
      </c>
      <c r="C45" s="23">
        <f t="shared" si="3"/>
        <v>155238.34</v>
      </c>
      <c r="D45" s="23">
        <f t="shared" si="0"/>
        <v>70491</v>
      </c>
      <c r="E45" s="23">
        <v>70368</v>
      </c>
      <c r="F45" s="23">
        <v>123</v>
      </c>
      <c r="G45" s="23">
        <f t="shared" si="1"/>
        <v>48505.34</v>
      </c>
      <c r="H45" s="23">
        <v>22364</v>
      </c>
      <c r="I45" s="85">
        <f>1-'Table 1.1.4'!M45</f>
        <v>0.93500000000000005</v>
      </c>
      <c r="J45" s="20">
        <f t="shared" si="2"/>
        <v>20910.34</v>
      </c>
      <c r="K45" s="23">
        <v>4928</v>
      </c>
      <c r="L45" s="23">
        <v>1830</v>
      </c>
      <c r="M45" s="23">
        <v>92</v>
      </c>
      <c r="N45" s="23">
        <v>18548</v>
      </c>
      <c r="O45" s="23">
        <v>2197</v>
      </c>
      <c r="P45" s="23">
        <v>33392</v>
      </c>
      <c r="Q45" s="23">
        <f t="shared" si="7"/>
        <v>2850</v>
      </c>
      <c r="R45" s="23">
        <v>2850</v>
      </c>
      <c r="S45" s="23">
        <v>7870</v>
      </c>
      <c r="T45" s="23">
        <v>155605</v>
      </c>
      <c r="U45" s="177">
        <f t="shared" si="5"/>
        <v>-366.66000000000349</v>
      </c>
      <c r="V45" s="85">
        <f t="shared" si="6"/>
        <v>-2.3619165213954458E-3</v>
      </c>
    </row>
    <row r="46" spans="1:22" ht="12.75" customHeight="1">
      <c r="A46" s="58">
        <v>1999</v>
      </c>
      <c r="B46" s="23">
        <v>1286456</v>
      </c>
      <c r="C46" s="23">
        <f t="shared" si="3"/>
        <v>165702.27799999999</v>
      </c>
      <c r="D46" s="23">
        <f t="shared" si="0"/>
        <v>76858</v>
      </c>
      <c r="E46" s="23">
        <v>76334</v>
      </c>
      <c r="F46" s="23">
        <v>524</v>
      </c>
      <c r="G46" s="23">
        <f t="shared" si="1"/>
        <v>49563.277999999998</v>
      </c>
      <c r="H46" s="23">
        <v>23931</v>
      </c>
      <c r="I46" s="85">
        <f>1-'Table 1.1.4'!M46</f>
        <v>0.93799999999999994</v>
      </c>
      <c r="J46" s="20">
        <f t="shared" si="2"/>
        <v>22447.277999999998</v>
      </c>
      <c r="K46" s="23">
        <v>3874</v>
      </c>
      <c r="L46" s="23">
        <v>1926</v>
      </c>
      <c r="M46" s="23">
        <v>96</v>
      </c>
      <c r="N46" s="23">
        <v>18890</v>
      </c>
      <c r="O46" s="23">
        <v>2330</v>
      </c>
      <c r="P46" s="23">
        <v>36185</v>
      </c>
      <c r="Q46" s="23">
        <f t="shared" si="7"/>
        <v>3096</v>
      </c>
      <c r="R46" s="23">
        <v>3096</v>
      </c>
      <c r="S46" s="23">
        <v>7924</v>
      </c>
      <c r="T46" s="23">
        <v>166091</v>
      </c>
      <c r="U46" s="177">
        <f t="shared" si="5"/>
        <v>-388.72200000000885</v>
      </c>
      <c r="V46" s="85">
        <f t="shared" si="6"/>
        <v>-2.3459061920682155E-3</v>
      </c>
    </row>
    <row r="47" spans="1:22" ht="18" customHeight="1">
      <c r="A47" s="58">
        <v>2000</v>
      </c>
      <c r="B47" s="23">
        <v>1377178</v>
      </c>
      <c r="C47" s="23">
        <f t="shared" si="3"/>
        <v>177967.72399999999</v>
      </c>
      <c r="D47" s="23">
        <f t="shared" si="0"/>
        <v>84479</v>
      </c>
      <c r="E47" s="23">
        <v>83564</v>
      </c>
      <c r="F47" s="23">
        <v>915</v>
      </c>
      <c r="G47" s="23">
        <f t="shared" si="1"/>
        <v>51968.724000000002</v>
      </c>
      <c r="H47" s="23">
        <v>26198</v>
      </c>
      <c r="I47" s="85">
        <f>1-'Table 1.1.4'!M47</f>
        <v>0.93799999999999994</v>
      </c>
      <c r="J47" s="20">
        <f t="shared" si="2"/>
        <v>24573.723999999998</v>
      </c>
      <c r="K47" s="23">
        <v>3940</v>
      </c>
      <c r="L47" s="23">
        <v>2077</v>
      </c>
      <c r="M47" s="23">
        <v>104</v>
      </c>
      <c r="N47" s="23">
        <v>18791</v>
      </c>
      <c r="O47" s="23">
        <v>2483</v>
      </c>
      <c r="P47" s="23">
        <v>38170</v>
      </c>
      <c r="Q47" s="23">
        <f t="shared" si="7"/>
        <v>3350</v>
      </c>
      <c r="R47" s="23">
        <v>3350</v>
      </c>
      <c r="S47" s="23">
        <v>8244</v>
      </c>
      <c r="T47" s="23">
        <v>178829</v>
      </c>
      <c r="U47" s="177">
        <f t="shared" si="5"/>
        <v>-861.27600000001257</v>
      </c>
      <c r="V47" s="85">
        <f t="shared" si="6"/>
        <v>-4.8395067411212871E-3</v>
      </c>
    </row>
    <row r="48" spans="1:22" ht="12.75" customHeight="1">
      <c r="A48" s="58">
        <v>2001</v>
      </c>
      <c r="B48" s="23">
        <v>1493347</v>
      </c>
      <c r="C48" s="23">
        <f t="shared" si="3"/>
        <v>195845.68</v>
      </c>
      <c r="D48" s="23">
        <f t="shared" si="0"/>
        <v>93201</v>
      </c>
      <c r="E48" s="23">
        <v>91948</v>
      </c>
      <c r="F48" s="23">
        <v>1253</v>
      </c>
      <c r="G48" s="23">
        <f t="shared" si="1"/>
        <v>58023.679999999993</v>
      </c>
      <c r="H48" s="23">
        <v>29722</v>
      </c>
      <c r="I48" s="85">
        <f>1-'Table 1.1.4'!M48</f>
        <v>0.94</v>
      </c>
      <c r="J48" s="20">
        <f t="shared" si="2"/>
        <v>27938.679999999997</v>
      </c>
      <c r="K48" s="23">
        <v>4819</v>
      </c>
      <c r="L48" s="23">
        <v>2062</v>
      </c>
      <c r="M48" s="23">
        <v>107</v>
      </c>
      <c r="N48" s="23">
        <v>20408</v>
      </c>
      <c r="O48" s="23">
        <v>2689</v>
      </c>
      <c r="P48" s="23">
        <v>41013</v>
      </c>
      <c r="Q48" s="23">
        <f t="shared" si="7"/>
        <v>3608</v>
      </c>
      <c r="R48" s="23">
        <v>3608</v>
      </c>
      <c r="S48" s="23">
        <v>8589</v>
      </c>
      <c r="T48" s="23">
        <v>197326</v>
      </c>
      <c r="U48" s="177">
        <f t="shared" si="5"/>
        <v>-1480.320000000007</v>
      </c>
      <c r="V48" s="85">
        <f t="shared" si="6"/>
        <v>-7.5586043051856294E-3</v>
      </c>
    </row>
    <row r="49" spans="1:22" ht="12.75" customHeight="1">
      <c r="A49" s="58">
        <v>2002</v>
      </c>
      <c r="B49" s="23">
        <v>1637956</v>
      </c>
      <c r="C49" s="23">
        <f t="shared" si="3"/>
        <v>215850.76</v>
      </c>
      <c r="D49" s="23">
        <f t="shared" si="0"/>
        <v>104531</v>
      </c>
      <c r="E49" s="23">
        <v>102878</v>
      </c>
      <c r="F49" s="23">
        <v>1653</v>
      </c>
      <c r="G49" s="23">
        <f t="shared" si="1"/>
        <v>63387.759999999995</v>
      </c>
      <c r="H49" s="23">
        <v>33404</v>
      </c>
      <c r="I49" s="85">
        <f>1-'Table 1.1.4'!M49</f>
        <v>0.94</v>
      </c>
      <c r="J49" s="20">
        <f t="shared" si="2"/>
        <v>31399.759999999998</v>
      </c>
      <c r="K49" s="23">
        <v>5138</v>
      </c>
      <c r="L49" s="23">
        <v>2032</v>
      </c>
      <c r="M49" s="23">
        <v>107</v>
      </c>
      <c r="N49" s="23">
        <v>21823</v>
      </c>
      <c r="O49" s="23">
        <v>2888</v>
      </c>
      <c r="P49" s="23">
        <v>44035</v>
      </c>
      <c r="Q49" s="23">
        <f t="shared" si="7"/>
        <v>3897</v>
      </c>
      <c r="R49" s="23">
        <v>3897</v>
      </c>
      <c r="S49" s="23">
        <v>9343</v>
      </c>
      <c r="T49" s="23">
        <v>212692</v>
      </c>
      <c r="U49" s="177">
        <f t="shared" si="5"/>
        <v>3158.7600000000093</v>
      </c>
      <c r="V49" s="85">
        <f t="shared" si="6"/>
        <v>1.4633999898819023E-2</v>
      </c>
    </row>
    <row r="50" spans="1:22" ht="12.75" customHeight="1">
      <c r="A50" s="58">
        <v>2003</v>
      </c>
      <c r="B50" s="23">
        <v>1775439</v>
      </c>
      <c r="C50" s="23">
        <f t="shared" si="3"/>
        <v>238923.5</v>
      </c>
      <c r="D50" s="23">
        <f t="shared" si="0"/>
        <v>110097</v>
      </c>
      <c r="E50" s="23">
        <v>108210</v>
      </c>
      <c r="F50" s="23">
        <v>1887</v>
      </c>
      <c r="G50" s="23">
        <f t="shared" si="1"/>
        <v>70275.5</v>
      </c>
      <c r="H50" s="23">
        <v>37750</v>
      </c>
      <c r="I50" s="85">
        <f>1-'Table 1.1.4'!M50</f>
        <v>0.94199999999999995</v>
      </c>
      <c r="J50" s="20">
        <f t="shared" si="2"/>
        <v>35560.5</v>
      </c>
      <c r="K50" s="23">
        <v>5591</v>
      </c>
      <c r="L50" s="23">
        <v>2027</v>
      </c>
      <c r="M50" s="23">
        <v>108</v>
      </c>
      <c r="N50" s="23">
        <v>23957</v>
      </c>
      <c r="O50" s="23">
        <v>3032</v>
      </c>
      <c r="P50" s="23">
        <v>44637</v>
      </c>
      <c r="Q50" s="23">
        <f t="shared" ref="Q50:Q58" si="8">R50+S50</f>
        <v>13914</v>
      </c>
      <c r="R50" s="23">
        <v>4221</v>
      </c>
      <c r="S50" s="23">
        <v>9693</v>
      </c>
      <c r="T50" s="23">
        <v>226516</v>
      </c>
      <c r="U50" s="177">
        <f t="shared" si="5"/>
        <v>12407.5</v>
      </c>
      <c r="V50" s="85">
        <f t="shared" si="6"/>
        <v>5.1930848158510991E-2</v>
      </c>
    </row>
    <row r="51" spans="1:22" ht="12.75" customHeight="1">
      <c r="A51" s="58">
        <v>2004</v>
      </c>
      <c r="B51" s="23">
        <v>1901599</v>
      </c>
      <c r="C51" s="23">
        <f t="shared" si="3"/>
        <v>254111.04399999999</v>
      </c>
      <c r="D51" s="23">
        <f t="shared" si="0"/>
        <v>120665</v>
      </c>
      <c r="E51" s="23">
        <v>118480</v>
      </c>
      <c r="F51" s="23">
        <v>2185</v>
      </c>
      <c r="G51" s="23">
        <f t="shared" si="1"/>
        <v>73748.043999999994</v>
      </c>
      <c r="H51" s="23">
        <v>38982</v>
      </c>
      <c r="I51" s="85">
        <f>1-'Table 1.1.4'!M51</f>
        <v>0.94199999999999995</v>
      </c>
      <c r="J51" s="20">
        <f t="shared" si="2"/>
        <v>36721.043999999994</v>
      </c>
      <c r="K51" s="23">
        <v>5904</v>
      </c>
      <c r="L51" s="23">
        <v>1992</v>
      </c>
      <c r="M51" s="23">
        <v>110</v>
      </c>
      <c r="N51" s="23">
        <v>25828</v>
      </c>
      <c r="O51" s="23">
        <v>3193</v>
      </c>
      <c r="P51" s="23">
        <v>44840</v>
      </c>
      <c r="Q51" s="23">
        <f t="shared" si="8"/>
        <v>14858</v>
      </c>
      <c r="R51" s="23">
        <v>4516</v>
      </c>
      <c r="S51" s="23">
        <v>10342</v>
      </c>
      <c r="T51" s="23">
        <v>240172</v>
      </c>
      <c r="U51" s="177">
        <f t="shared" si="5"/>
        <v>13939.043999999994</v>
      </c>
      <c r="V51" s="85">
        <f t="shared" si="6"/>
        <v>5.4854144788764062E-2</v>
      </c>
    </row>
    <row r="52" spans="1:22" ht="12.75" customHeight="1">
      <c r="A52" s="58">
        <v>2005</v>
      </c>
      <c r="B52" s="23">
        <v>2030497</v>
      </c>
      <c r="C52" s="23">
        <f t="shared" si="3"/>
        <v>274634.00899999996</v>
      </c>
      <c r="D52" s="23">
        <f t="shared" si="0"/>
        <v>134208</v>
      </c>
      <c r="E52" s="23">
        <v>131895</v>
      </c>
      <c r="F52" s="23">
        <v>2313</v>
      </c>
      <c r="G52" s="23">
        <f t="shared" si="1"/>
        <v>77683.008999999991</v>
      </c>
      <c r="H52" s="23">
        <v>41263</v>
      </c>
      <c r="I52" s="85">
        <f>1-'Table 1.1.4'!M52</f>
        <v>0.94299999999999995</v>
      </c>
      <c r="J52" s="20">
        <f t="shared" si="2"/>
        <v>38911.008999999998</v>
      </c>
      <c r="K52" s="23">
        <v>6195</v>
      </c>
      <c r="L52" s="23">
        <v>2022</v>
      </c>
      <c r="M52" s="23">
        <v>106</v>
      </c>
      <c r="N52" s="23">
        <v>27098</v>
      </c>
      <c r="O52" s="23">
        <v>3351</v>
      </c>
      <c r="P52" s="23">
        <v>46846</v>
      </c>
      <c r="Q52" s="23">
        <f t="shared" si="8"/>
        <v>15897</v>
      </c>
      <c r="R52" s="23">
        <v>4586</v>
      </c>
      <c r="S52" s="23">
        <v>11311</v>
      </c>
      <c r="T52" s="23">
        <v>258398</v>
      </c>
      <c r="U52" s="177">
        <f t="shared" si="5"/>
        <v>16236.008999999962</v>
      </c>
      <c r="V52" s="85">
        <f t="shared" si="6"/>
        <v>5.9118712424286693E-2</v>
      </c>
    </row>
    <row r="53" spans="1:22" ht="12.75" customHeight="1">
      <c r="A53" s="58">
        <v>2006</v>
      </c>
      <c r="B53" s="23">
        <v>2163293</v>
      </c>
      <c r="C53" s="23">
        <f t="shared" si="3"/>
        <v>283410.18</v>
      </c>
      <c r="D53" s="23">
        <f t="shared" si="0"/>
        <v>135402</v>
      </c>
      <c r="E53" s="23">
        <v>132792</v>
      </c>
      <c r="F53" s="23">
        <v>2610</v>
      </c>
      <c r="G53" s="23">
        <f t="shared" si="1"/>
        <v>79076.179999999993</v>
      </c>
      <c r="H53" s="23">
        <v>41397</v>
      </c>
      <c r="I53" s="85">
        <f>1-'Table 1.1.4'!M53</f>
        <v>0.94</v>
      </c>
      <c r="J53" s="20">
        <f t="shared" si="2"/>
        <v>38913.18</v>
      </c>
      <c r="K53" s="23">
        <v>6721</v>
      </c>
      <c r="L53" s="23">
        <v>2062</v>
      </c>
      <c r="M53" s="23">
        <v>106</v>
      </c>
      <c r="N53" s="23">
        <v>27678</v>
      </c>
      <c r="O53" s="23">
        <v>3596</v>
      </c>
      <c r="P53" s="23">
        <v>52779</v>
      </c>
      <c r="Q53" s="23">
        <f t="shared" si="8"/>
        <v>16153</v>
      </c>
      <c r="R53" s="23">
        <v>4785</v>
      </c>
      <c r="S53" s="23">
        <v>11368</v>
      </c>
      <c r="T53" s="23">
        <v>266128</v>
      </c>
      <c r="U53" s="177">
        <f t="shared" si="5"/>
        <v>17282.179999999993</v>
      </c>
      <c r="V53" s="85">
        <f t="shared" si="6"/>
        <v>6.0979390366288161E-2</v>
      </c>
    </row>
    <row r="54" spans="1:22" ht="12.75" customHeight="1">
      <c r="A54" s="58">
        <v>2007</v>
      </c>
      <c r="B54" s="23">
        <v>2298269</v>
      </c>
      <c r="C54" s="23">
        <f t="shared" si="3"/>
        <v>300207.78000000003</v>
      </c>
      <c r="D54" s="23">
        <f t="shared" si="0"/>
        <v>143207</v>
      </c>
      <c r="E54" s="23">
        <v>140406</v>
      </c>
      <c r="F54" s="23">
        <v>2801</v>
      </c>
      <c r="G54" s="23">
        <f t="shared" si="1"/>
        <v>79796.78</v>
      </c>
      <c r="H54" s="23">
        <v>40487</v>
      </c>
      <c r="I54" s="85">
        <f>1-'Table 1.1.4'!M54</f>
        <v>0.94</v>
      </c>
      <c r="J54" s="20">
        <f t="shared" si="2"/>
        <v>38057.78</v>
      </c>
      <c r="K54" s="23">
        <v>6928</v>
      </c>
      <c r="L54" s="23">
        <v>2197</v>
      </c>
      <c r="M54" s="23">
        <v>121</v>
      </c>
      <c r="N54" s="23">
        <v>28610</v>
      </c>
      <c r="O54" s="23">
        <v>3883</v>
      </c>
      <c r="P54" s="23">
        <v>59020</v>
      </c>
      <c r="Q54" s="23">
        <f t="shared" si="8"/>
        <v>18184</v>
      </c>
      <c r="R54" s="23">
        <v>5137</v>
      </c>
      <c r="S54" s="23">
        <v>13047</v>
      </c>
      <c r="T54" s="23">
        <v>283442</v>
      </c>
      <c r="U54" s="177">
        <f t="shared" si="5"/>
        <v>16765.780000000028</v>
      </c>
      <c r="V54" s="85">
        <f t="shared" si="6"/>
        <v>5.5847253525541631E-2</v>
      </c>
    </row>
    <row r="55" spans="1:22" ht="12.75" customHeight="1">
      <c r="A55" s="58">
        <v>2008</v>
      </c>
      <c r="B55" s="23">
        <v>2406644</v>
      </c>
      <c r="C55" s="23">
        <f t="shared" si="3"/>
        <v>307670.538</v>
      </c>
      <c r="D55" s="23">
        <f t="shared" si="0"/>
        <v>144474</v>
      </c>
      <c r="E55" s="23">
        <v>141390</v>
      </c>
      <c r="F55" s="23">
        <v>3084</v>
      </c>
      <c r="G55" s="23">
        <f t="shared" si="1"/>
        <v>80587.538</v>
      </c>
      <c r="H55" s="23">
        <v>39618</v>
      </c>
      <c r="I55" s="85">
        <f>1-'Table 1.1.4'!M55</f>
        <v>0.94100000000000006</v>
      </c>
      <c r="J55" s="20">
        <f t="shared" si="2"/>
        <v>37280.538</v>
      </c>
      <c r="K55" s="23">
        <v>7146</v>
      </c>
      <c r="L55" s="23">
        <v>2243</v>
      </c>
      <c r="M55" s="23">
        <v>124</v>
      </c>
      <c r="N55" s="23">
        <v>29670</v>
      </c>
      <c r="O55" s="23">
        <v>4124</v>
      </c>
      <c r="P55" s="23">
        <v>62815</v>
      </c>
      <c r="Q55" s="23">
        <f t="shared" si="8"/>
        <v>19794</v>
      </c>
      <c r="R55" s="23">
        <v>5582</v>
      </c>
      <c r="S55" s="23">
        <v>14212</v>
      </c>
      <c r="T55" s="23">
        <v>289780</v>
      </c>
      <c r="U55" s="177">
        <f t="shared" si="5"/>
        <v>17890.538</v>
      </c>
      <c r="V55" s="85">
        <f t="shared" si="6"/>
        <v>5.8148362583875353E-2</v>
      </c>
    </row>
    <row r="56" spans="1:22" ht="12.75" customHeight="1">
      <c r="A56" s="58">
        <v>2009</v>
      </c>
      <c r="B56" s="23">
        <v>2501171</v>
      </c>
      <c r="C56" s="23">
        <f t="shared" si="3"/>
        <v>292050.49300000002</v>
      </c>
      <c r="D56" s="23">
        <f t="shared" si="0"/>
        <v>130579</v>
      </c>
      <c r="E56" s="23">
        <v>127286</v>
      </c>
      <c r="F56" s="23">
        <v>3293</v>
      </c>
      <c r="G56" s="23">
        <f t="shared" si="1"/>
        <v>78092.493000000002</v>
      </c>
      <c r="H56" s="23">
        <v>36287</v>
      </c>
      <c r="I56" s="85">
        <f>1-'Table 1.1.4'!M56</f>
        <v>0.93900000000000006</v>
      </c>
      <c r="J56" s="20">
        <f t="shared" si="2"/>
        <v>34073.493000000002</v>
      </c>
      <c r="K56" s="23">
        <v>7155</v>
      </c>
      <c r="L56" s="23">
        <v>2090</v>
      </c>
      <c r="M56" s="23">
        <v>115</v>
      </c>
      <c r="N56" s="23">
        <v>30429</v>
      </c>
      <c r="O56" s="23">
        <v>4230</v>
      </c>
      <c r="P56" s="23">
        <v>63684</v>
      </c>
      <c r="Q56" s="23">
        <f t="shared" si="8"/>
        <v>19695</v>
      </c>
      <c r="R56" s="23">
        <v>5983</v>
      </c>
      <c r="S56" s="23">
        <v>13712</v>
      </c>
      <c r="T56" s="23">
        <v>284835</v>
      </c>
      <c r="U56" s="177">
        <f t="shared" si="5"/>
        <v>7215.4930000000168</v>
      </c>
      <c r="V56" s="85">
        <f t="shared" si="6"/>
        <v>2.4706320218401467E-2</v>
      </c>
    </row>
    <row r="57" spans="1:22" ht="12.75" customHeight="1">
      <c r="A57" s="58">
        <v>2010</v>
      </c>
      <c r="B57" s="23">
        <v>2599951</v>
      </c>
      <c r="C57" s="23">
        <f t="shared" si="3"/>
        <v>296655.74400000001</v>
      </c>
      <c r="D57" s="23">
        <f t="shared" si="0"/>
        <v>134053</v>
      </c>
      <c r="E57" s="23">
        <v>130532</v>
      </c>
      <c r="F57" s="23">
        <v>3521</v>
      </c>
      <c r="G57" s="23">
        <f t="shared" si="1"/>
        <v>77884.744000000006</v>
      </c>
      <c r="H57" s="23">
        <v>34879</v>
      </c>
      <c r="I57" s="85">
        <f>1-'Table 1.1.4'!M57</f>
        <v>0.93599999999999994</v>
      </c>
      <c r="J57" s="20">
        <f t="shared" si="2"/>
        <v>32646.743999999999</v>
      </c>
      <c r="K57" s="23">
        <v>7071</v>
      </c>
      <c r="L57" s="23">
        <v>2042</v>
      </c>
      <c r="M57" s="23">
        <v>118</v>
      </c>
      <c r="N57" s="23">
        <v>31628</v>
      </c>
      <c r="O57" s="23">
        <v>4379</v>
      </c>
      <c r="P57" s="23">
        <v>65443</v>
      </c>
      <c r="Q57" s="23">
        <f t="shared" si="8"/>
        <v>19275</v>
      </c>
      <c r="R57" s="23">
        <v>6164</v>
      </c>
      <c r="S57" s="23">
        <v>13111</v>
      </c>
      <c r="T57" s="23">
        <v>301459</v>
      </c>
      <c r="U57" s="177">
        <f t="shared" si="5"/>
        <v>-4803.2559999999939</v>
      </c>
      <c r="V57" s="85">
        <f t="shared" si="6"/>
        <v>-1.6191346694436476E-2</v>
      </c>
    </row>
    <row r="58" spans="1:22" ht="12.75" customHeight="1">
      <c r="A58" s="58">
        <v>2011</v>
      </c>
      <c r="B58" s="23">
        <v>2700739</v>
      </c>
      <c r="C58" s="23">
        <f t="shared" si="3"/>
        <v>331103.99359999999</v>
      </c>
      <c r="D58" s="23">
        <f t="shared" si="0"/>
        <v>163096</v>
      </c>
      <c r="E58" s="23">
        <v>159474</v>
      </c>
      <c r="F58" s="23">
        <v>3622</v>
      </c>
      <c r="G58" s="23">
        <f t="shared" si="1"/>
        <v>79289.993600000002</v>
      </c>
      <c r="H58" s="23">
        <v>35033</v>
      </c>
      <c r="I58" s="85">
        <f>1-'Table 1.1.4'!M58</f>
        <v>0.93920000000000003</v>
      </c>
      <c r="J58" s="20">
        <f t="shared" si="2"/>
        <v>32902.993600000002</v>
      </c>
      <c r="K58" s="23">
        <v>6669</v>
      </c>
      <c r="L58" s="23">
        <v>2002</v>
      </c>
      <c r="M58" s="23">
        <v>113</v>
      </c>
      <c r="N58" s="23">
        <v>33091</v>
      </c>
      <c r="O58" s="23">
        <v>4512</v>
      </c>
      <c r="P58" s="23">
        <v>68631</v>
      </c>
      <c r="Q58" s="23">
        <f t="shared" si="8"/>
        <v>20087</v>
      </c>
      <c r="R58" s="23">
        <v>6476</v>
      </c>
      <c r="S58" s="23">
        <v>13611</v>
      </c>
      <c r="T58" s="23">
        <v>368136</v>
      </c>
      <c r="U58" s="177">
        <f>C58-T58</f>
        <v>-37032.006400000013</v>
      </c>
      <c r="V58" s="85">
        <f>U58/C58</f>
        <v>-0.11184403424845919</v>
      </c>
    </row>
    <row r="59" spans="1:22" ht="18" customHeight="1">
      <c r="A59" s="172" t="s">
        <v>23</v>
      </c>
      <c r="B59" s="159"/>
      <c r="C59" s="160"/>
      <c r="D59" s="159"/>
      <c r="E59" s="159"/>
      <c r="F59" s="159"/>
      <c r="G59" s="159"/>
      <c r="H59" s="160" t="s">
        <v>24</v>
      </c>
      <c r="I59" s="160" t="s">
        <v>25</v>
      </c>
      <c r="J59" s="160" t="s">
        <v>26</v>
      </c>
      <c r="K59" s="159"/>
      <c r="L59" s="159"/>
      <c r="M59" s="159"/>
      <c r="N59" s="160" t="s">
        <v>27</v>
      </c>
      <c r="O59" s="159"/>
      <c r="P59" s="159"/>
      <c r="Q59" s="159"/>
      <c r="R59" s="161"/>
      <c r="S59" s="161"/>
      <c r="T59" s="160" t="s">
        <v>28</v>
      </c>
      <c r="U59" s="160" t="s">
        <v>29</v>
      </c>
      <c r="V59" s="173" t="s">
        <v>30</v>
      </c>
    </row>
    <row r="60" spans="1:22" ht="15.75" customHeight="1">
      <c r="A60" s="137" t="s">
        <v>36</v>
      </c>
      <c r="B60" s="163">
        <v>41510</v>
      </c>
      <c r="C60" s="163"/>
      <c r="D60" s="163"/>
      <c r="E60" s="137"/>
      <c r="F60" s="137"/>
      <c r="T60" s="153"/>
    </row>
    <row r="61" spans="1:22" s="38" customFormat="1" ht="24.75" customHeight="1">
      <c r="A61" s="175" t="s">
        <v>37</v>
      </c>
      <c r="B61" s="40" t="s">
        <v>345</v>
      </c>
      <c r="C61" s="40"/>
      <c r="D61" s="40"/>
      <c r="E61" s="40"/>
      <c r="F61" s="40"/>
      <c r="G61" s="40"/>
      <c r="H61" s="40"/>
      <c r="I61" s="40"/>
      <c r="J61" s="40"/>
      <c r="K61" s="40"/>
      <c r="L61" s="40"/>
      <c r="M61" s="40"/>
      <c r="N61" s="40"/>
      <c r="O61" s="40"/>
    </row>
    <row r="62" spans="1:22" s="38" customFormat="1" ht="19.5" customHeight="1">
      <c r="A62" s="43" t="s">
        <v>307</v>
      </c>
      <c r="B62" s="43"/>
      <c r="C62" s="43"/>
      <c r="D62" s="43"/>
      <c r="E62" s="43"/>
      <c r="F62" s="164"/>
      <c r="G62" s="37"/>
      <c r="H62" s="37"/>
      <c r="I62" s="37"/>
      <c r="J62" s="37"/>
      <c r="K62" s="37"/>
      <c r="L62" s="37"/>
      <c r="M62" s="37"/>
      <c r="N62" s="37"/>
      <c r="O62" s="37"/>
      <c r="T62" s="153"/>
    </row>
    <row r="63" spans="1:22" s="38" customFormat="1" ht="24.75" customHeight="1">
      <c r="A63" s="165" t="str">
        <f>H59</f>
        <v>[A]</v>
      </c>
      <c r="B63" s="40" t="s">
        <v>346</v>
      </c>
      <c r="C63" s="40"/>
      <c r="D63" s="40"/>
      <c r="E63" s="40"/>
      <c r="F63" s="40"/>
      <c r="G63" s="40"/>
      <c r="H63" s="40"/>
      <c r="I63" s="40"/>
      <c r="J63" s="40"/>
      <c r="K63" s="40"/>
      <c r="L63" s="40"/>
      <c r="M63" s="40"/>
      <c r="N63" s="40"/>
      <c r="O63" s="40"/>
      <c r="T63" s="153"/>
    </row>
    <row r="64" spans="1:22" s="38" customFormat="1" ht="51" customHeight="1">
      <c r="A64" s="165" t="str">
        <f>I59</f>
        <v>[B]</v>
      </c>
      <c r="B64" s="40" t="s">
        <v>347</v>
      </c>
      <c r="C64" s="40"/>
      <c r="D64" s="40"/>
      <c r="E64" s="40"/>
      <c r="F64" s="40"/>
      <c r="G64" s="40"/>
      <c r="H64" s="40"/>
      <c r="I64" s="40"/>
      <c r="J64" s="40"/>
      <c r="K64" s="40"/>
      <c r="L64" s="40"/>
      <c r="M64" s="40"/>
      <c r="N64" s="40"/>
      <c r="O64" s="40"/>
      <c r="T64" s="153"/>
    </row>
    <row r="65" spans="1:25" s="38" customFormat="1" ht="24.75" customHeight="1">
      <c r="A65" s="165" t="str">
        <f>J59</f>
        <v>[C]</v>
      </c>
      <c r="B65" s="40" t="s">
        <v>331</v>
      </c>
      <c r="C65" s="40"/>
      <c r="D65" s="40"/>
      <c r="E65" s="40"/>
      <c r="F65" s="40"/>
      <c r="G65" s="40"/>
      <c r="H65" s="40"/>
      <c r="I65" s="40"/>
      <c r="J65" s="72"/>
      <c r="K65" s="72"/>
      <c r="L65" s="72"/>
      <c r="M65" s="72"/>
      <c r="N65" s="72"/>
      <c r="O65" s="72"/>
      <c r="T65" s="153"/>
    </row>
    <row r="66" spans="1:25" s="38" customFormat="1" ht="18" customHeight="1">
      <c r="A66" s="165" t="str">
        <f>N59</f>
        <v>[D]</v>
      </c>
      <c r="B66" s="40" t="s">
        <v>310</v>
      </c>
      <c r="C66" s="40"/>
      <c r="D66" s="40"/>
      <c r="E66" s="40"/>
      <c r="F66" s="40"/>
      <c r="G66" s="40"/>
      <c r="H66" s="40"/>
      <c r="I66" s="40"/>
      <c r="J66" s="40"/>
      <c r="K66" s="40"/>
      <c r="L66" s="40"/>
      <c r="M66" s="40"/>
      <c r="N66" s="40"/>
      <c r="O66" s="40"/>
      <c r="T66" s="153"/>
    </row>
    <row r="67" spans="1:25" s="38" customFormat="1" ht="18" customHeight="1">
      <c r="A67" s="165" t="str">
        <f>T59</f>
        <v>[E]</v>
      </c>
      <c r="B67" s="40" t="s">
        <v>348</v>
      </c>
      <c r="C67" s="40"/>
      <c r="D67" s="40"/>
      <c r="E67" s="40"/>
      <c r="F67" s="40"/>
      <c r="G67" s="40"/>
      <c r="H67" s="40"/>
      <c r="I67" s="40"/>
      <c r="J67" s="40"/>
      <c r="K67" s="40"/>
      <c r="L67" s="40"/>
      <c r="M67" s="40"/>
      <c r="N67" s="40"/>
      <c r="O67" s="40"/>
      <c r="Y67" s="113"/>
    </row>
    <row r="68" spans="1:25" s="38" customFormat="1" ht="18" customHeight="1">
      <c r="A68" s="165" t="str">
        <f>U59</f>
        <v>[F]</v>
      </c>
      <c r="B68" s="40" t="s">
        <v>349</v>
      </c>
      <c r="C68" s="40"/>
      <c r="D68" s="40"/>
      <c r="E68" s="40"/>
      <c r="F68" s="40"/>
      <c r="G68" s="40"/>
      <c r="H68" s="40"/>
      <c r="I68" s="40"/>
      <c r="J68" s="40"/>
      <c r="K68" s="40"/>
      <c r="L68" s="40"/>
      <c r="M68" s="40"/>
      <c r="N68" s="40"/>
      <c r="O68" s="40"/>
      <c r="Y68" s="113"/>
    </row>
    <row r="69" spans="1:25" s="38" customFormat="1" ht="18" customHeight="1">
      <c r="A69" s="165" t="str">
        <f>V59</f>
        <v>[G]</v>
      </c>
      <c r="B69" s="40" t="s">
        <v>350</v>
      </c>
      <c r="C69" s="40"/>
      <c r="D69" s="40"/>
      <c r="E69" s="40"/>
      <c r="F69" s="40"/>
      <c r="G69" s="40"/>
      <c r="H69" s="40"/>
      <c r="I69" s="40"/>
      <c r="J69" s="40"/>
      <c r="K69" s="40"/>
      <c r="L69" s="40"/>
      <c r="M69" s="40"/>
      <c r="N69" s="40"/>
      <c r="O69" s="40"/>
      <c r="Y69" s="113"/>
    </row>
    <row r="70" spans="1:25" s="38" customFormat="1" ht="19.5" customHeight="1">
      <c r="A70" s="43" t="s">
        <v>311</v>
      </c>
      <c r="B70" s="43"/>
      <c r="C70" s="43"/>
      <c r="D70" s="43"/>
      <c r="E70" s="43"/>
      <c r="F70" s="43"/>
      <c r="G70" s="37"/>
      <c r="H70" s="37"/>
      <c r="I70" s="37"/>
      <c r="J70" s="37"/>
      <c r="K70" s="37"/>
      <c r="L70" s="37"/>
      <c r="M70" s="37"/>
      <c r="N70" s="37"/>
      <c r="O70" s="37"/>
      <c r="U70" s="89"/>
      <c r="V70" s="89"/>
    </row>
    <row r="71" spans="1:25" s="180" customFormat="1" ht="24.75" customHeight="1">
      <c r="A71" s="178" t="s">
        <v>111</v>
      </c>
      <c r="B71" s="179" t="s">
        <v>351</v>
      </c>
      <c r="C71" s="179"/>
      <c r="D71" s="179"/>
      <c r="E71" s="179"/>
      <c r="F71" s="179"/>
      <c r="G71" s="179"/>
      <c r="H71" s="179"/>
      <c r="I71" s="179"/>
      <c r="J71" s="179"/>
      <c r="K71" s="179"/>
      <c r="L71" s="179"/>
      <c r="M71" s="179"/>
      <c r="N71" s="179"/>
      <c r="O71" s="179"/>
    </row>
    <row r="72" spans="1:25" s="180" customFormat="1" ht="24.75" customHeight="1">
      <c r="A72" s="178" t="s">
        <v>113</v>
      </c>
      <c r="B72" s="181" t="s">
        <v>335</v>
      </c>
      <c r="C72" s="181"/>
      <c r="D72" s="181"/>
      <c r="E72" s="181"/>
      <c r="F72" s="181"/>
      <c r="G72" s="181"/>
      <c r="H72" s="181"/>
      <c r="I72" s="181"/>
      <c r="J72" s="181"/>
      <c r="K72" s="181"/>
      <c r="L72" s="181"/>
      <c r="M72" s="181"/>
      <c r="N72" s="181"/>
      <c r="O72" s="181"/>
    </row>
    <row r="73" spans="1:25" s="180" customFormat="1" ht="36" customHeight="1">
      <c r="A73" s="178" t="s">
        <v>115</v>
      </c>
      <c r="B73" s="88" t="s">
        <v>130</v>
      </c>
      <c r="C73" s="88"/>
      <c r="D73" s="88"/>
      <c r="E73" s="88"/>
      <c r="F73" s="88"/>
      <c r="G73" s="88"/>
      <c r="H73" s="88"/>
      <c r="I73" s="88"/>
      <c r="J73" s="88"/>
      <c r="K73" s="88"/>
      <c r="L73" s="88"/>
      <c r="M73" s="88"/>
      <c r="N73" s="88"/>
      <c r="O73" s="88"/>
    </row>
    <row r="74" spans="1:25" s="180" customFormat="1" ht="36" customHeight="1">
      <c r="A74" s="178" t="s">
        <v>117</v>
      </c>
      <c r="B74" s="181" t="s">
        <v>352</v>
      </c>
      <c r="C74" s="181"/>
      <c r="D74" s="181"/>
      <c r="E74" s="181"/>
      <c r="F74" s="181"/>
      <c r="G74" s="181"/>
      <c r="H74" s="181"/>
      <c r="I74" s="181"/>
      <c r="J74" s="181"/>
      <c r="K74" s="181"/>
      <c r="L74" s="181"/>
      <c r="M74" s="181"/>
      <c r="N74" s="181"/>
      <c r="O74" s="181"/>
    </row>
    <row r="75" spans="1:25" s="180" customFormat="1" ht="36" customHeight="1">
      <c r="A75" s="178" t="s">
        <v>119</v>
      </c>
      <c r="B75" s="181" t="s">
        <v>312</v>
      </c>
      <c r="C75" s="181"/>
      <c r="D75" s="181"/>
      <c r="E75" s="181"/>
      <c r="F75" s="181"/>
      <c r="G75" s="181"/>
      <c r="H75" s="181"/>
      <c r="I75" s="181"/>
      <c r="J75" s="181"/>
      <c r="K75" s="181"/>
      <c r="L75" s="181"/>
      <c r="M75" s="181"/>
      <c r="N75" s="181"/>
      <c r="O75" s="181"/>
    </row>
    <row r="76" spans="1:25" s="180" customFormat="1" ht="24.75" customHeight="1">
      <c r="A76" s="178" t="s">
        <v>121</v>
      </c>
      <c r="B76" s="181" t="s">
        <v>353</v>
      </c>
      <c r="C76" s="181"/>
      <c r="D76" s="181"/>
      <c r="E76" s="181"/>
      <c r="F76" s="181"/>
      <c r="G76" s="181"/>
      <c r="H76" s="181"/>
      <c r="I76" s="181"/>
      <c r="J76" s="181"/>
      <c r="K76" s="181"/>
      <c r="L76" s="181"/>
      <c r="M76" s="181"/>
      <c r="N76" s="181"/>
      <c r="O76" s="181"/>
    </row>
    <row r="77" spans="1:25" s="167" customFormat="1" ht="18">
      <c r="A77" s="91" t="s">
        <v>313</v>
      </c>
      <c r="B77" s="91"/>
      <c r="C77" s="91"/>
      <c r="D77" s="91"/>
      <c r="E77" s="91"/>
      <c r="F77" s="91"/>
      <c r="T77" s="38"/>
    </row>
    <row r="78" spans="1:25" ht="15" customHeight="1"/>
    <row r="79" spans="1:25" s="167" customFormat="1">
      <c r="A79" s="168"/>
    </row>
    <row r="80" spans="1:25" s="167" customFormat="1">
      <c r="A80" s="168"/>
      <c r="T80" s="89"/>
    </row>
    <row r="81" spans="1:22" s="167" customFormat="1">
      <c r="A81" s="168"/>
    </row>
    <row r="82" spans="1:22" s="167" customFormat="1">
      <c r="A82" s="168"/>
    </row>
    <row r="83" spans="1:22" s="167" customFormat="1">
      <c r="A83" s="168"/>
    </row>
    <row r="84" spans="1:22" s="167" customFormat="1">
      <c r="A84" s="168"/>
    </row>
    <row r="85" spans="1:22" s="167" customFormat="1">
      <c r="A85" s="168"/>
    </row>
    <row r="86" spans="1:22" s="167" customFormat="1">
      <c r="A86" s="168"/>
    </row>
    <row r="87" spans="1:22" s="167" customFormat="1">
      <c r="A87" s="168"/>
    </row>
    <row r="88" spans="1:22" s="167" customFormat="1">
      <c r="A88" s="168"/>
    </row>
    <row r="89" spans="1:22" s="167" customFormat="1">
      <c r="A89" s="168"/>
    </row>
    <row r="90" spans="1:22" s="167" customFormat="1">
      <c r="A90" s="168"/>
    </row>
    <row r="91" spans="1:22" s="167" customFormat="1">
      <c r="A91" s="168"/>
    </row>
    <row r="92" spans="1:22" s="167" customFormat="1">
      <c r="A92" s="168"/>
      <c r="U92"/>
      <c r="V92"/>
    </row>
    <row r="93" spans="1:22">
      <c r="T93" s="167"/>
    </row>
    <row r="94" spans="1:22">
      <c r="T94" s="167"/>
    </row>
    <row r="95" spans="1:22">
      <c r="T95" s="167"/>
    </row>
    <row r="96" spans="1:22">
      <c r="T96" s="167"/>
    </row>
  </sheetData>
  <mergeCells count="44">
    <mergeCell ref="B72:O72"/>
    <mergeCell ref="B73:O73"/>
    <mergeCell ref="B74:O74"/>
    <mergeCell ref="B75:O75"/>
    <mergeCell ref="B76:O76"/>
    <mergeCell ref="A77:F77"/>
    <mergeCell ref="B66:O66"/>
    <mergeCell ref="B67:O67"/>
    <mergeCell ref="B68:O68"/>
    <mergeCell ref="B69:O69"/>
    <mergeCell ref="A70:F70"/>
    <mergeCell ref="B71:O71"/>
    <mergeCell ref="B60:D60"/>
    <mergeCell ref="B61:O61"/>
    <mergeCell ref="A62:E62"/>
    <mergeCell ref="B63:O63"/>
    <mergeCell ref="B64:O64"/>
    <mergeCell ref="B65:I65"/>
    <mergeCell ref="O5:O6"/>
    <mergeCell ref="Q5:Q6"/>
    <mergeCell ref="R5:R6"/>
    <mergeCell ref="S5:S6"/>
    <mergeCell ref="U5:U6"/>
    <mergeCell ref="V5:V6"/>
    <mergeCell ref="P3:P6"/>
    <mergeCell ref="Q3:S4"/>
    <mergeCell ref="T3:T6"/>
    <mergeCell ref="U3:V4"/>
    <mergeCell ref="D5:D6"/>
    <mergeCell ref="E5:E6"/>
    <mergeCell ref="F5:F6"/>
    <mergeCell ref="G5:G6"/>
    <mergeCell ref="H5:J5"/>
    <mergeCell ref="K5:K6"/>
    <mergeCell ref="A1:N1"/>
    <mergeCell ref="A2:F2"/>
    <mergeCell ref="A3:A6"/>
    <mergeCell ref="B3:B6"/>
    <mergeCell ref="C3:C6"/>
    <mergeCell ref="D3:F4"/>
    <mergeCell ref="G3:O4"/>
    <mergeCell ref="L5:L6"/>
    <mergeCell ref="M5:M6"/>
    <mergeCell ref="N5:N6"/>
  </mergeCells>
  <printOptions horizontalCentered="1"/>
  <pageMargins left="0.7" right="0.7" top="0.75" bottom="0.75" header="0.3" footer="0.3"/>
  <pageSetup scale="64" fitToWidth="2" fitToHeight="2" orientation="portrait" horizontalDpi="300" r:id="rId1"/>
  <colBreaks count="1" manualBreakCount="1">
    <brk id="15" max="76"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86"/>
  <sheetViews>
    <sheetView view="pageBreakPreview" zoomScaleNormal="100" zoomScaleSheetLayoutView="100" workbookViewId="0">
      <pane xSplit="3" ySplit="6" topLeftCell="D62" activePane="bottomRight" state="frozen"/>
      <selection activeCell="L9" sqref="L9"/>
      <selection pane="topRight" activeCell="L9" sqref="L9"/>
      <selection pane="bottomLeft" activeCell="L9" sqref="L9"/>
      <selection pane="bottomRight" activeCell="L9" sqref="L9"/>
    </sheetView>
  </sheetViews>
  <sheetFormatPr defaultRowHeight="15"/>
  <cols>
    <col min="1" max="1" width="6.7109375" style="212" customWidth="1"/>
    <col min="2" max="3" width="9.7109375" style="183" customWidth="1"/>
    <col min="4" max="5" width="7.7109375" style="183" customWidth="1"/>
    <col min="6" max="16384" width="9.140625" style="183"/>
  </cols>
  <sheetData>
    <row r="1" spans="1:14" ht="18" customHeight="1">
      <c r="A1" s="182" t="s">
        <v>354</v>
      </c>
      <c r="B1" s="182"/>
      <c r="C1" s="182"/>
      <c r="D1" s="182"/>
      <c r="E1" s="182"/>
      <c r="F1" s="182"/>
      <c r="G1" s="182"/>
      <c r="H1" s="182"/>
      <c r="I1" s="182"/>
      <c r="J1" s="182"/>
      <c r="K1" s="182"/>
      <c r="L1" s="182"/>
      <c r="M1" s="182"/>
      <c r="N1" s="182"/>
    </row>
    <row r="2" spans="1:14" ht="15" customHeight="1" thickBot="1">
      <c r="A2" s="184" t="s">
        <v>267</v>
      </c>
      <c r="B2" s="184"/>
      <c r="C2" s="184"/>
      <c r="D2" s="184"/>
      <c r="E2" s="184"/>
      <c r="F2" s="184"/>
      <c r="G2" s="184"/>
      <c r="H2" s="184"/>
      <c r="I2" s="184"/>
      <c r="J2" s="184"/>
      <c r="K2" s="184"/>
      <c r="L2" s="184"/>
      <c r="M2" s="184"/>
      <c r="N2" s="184"/>
    </row>
    <row r="3" spans="1:14" ht="15.75" customHeight="1" thickTop="1">
      <c r="A3" s="185" t="s">
        <v>268</v>
      </c>
      <c r="B3" s="186" t="s">
        <v>269</v>
      </c>
      <c r="C3" s="186" t="s">
        <v>355</v>
      </c>
      <c r="D3" s="186" t="s">
        <v>270</v>
      </c>
      <c r="E3" s="186" t="s">
        <v>356</v>
      </c>
      <c r="F3" s="187" t="s">
        <v>272</v>
      </c>
      <c r="G3" s="188"/>
      <c r="H3" s="188"/>
      <c r="I3" s="187" t="s">
        <v>274</v>
      </c>
      <c r="J3" s="188"/>
      <c r="K3" s="185"/>
      <c r="L3" s="4" t="s">
        <v>357</v>
      </c>
      <c r="M3" s="3" t="s">
        <v>318</v>
      </c>
      <c r="N3" s="2"/>
    </row>
    <row r="4" spans="1:14" ht="12.75" customHeight="1">
      <c r="A4" s="189"/>
      <c r="B4" s="190"/>
      <c r="C4" s="190"/>
      <c r="D4" s="191"/>
      <c r="E4" s="191"/>
      <c r="F4" s="192"/>
      <c r="G4" s="193"/>
      <c r="H4" s="193"/>
      <c r="I4" s="192"/>
      <c r="J4" s="193"/>
      <c r="K4" s="194"/>
      <c r="L4" s="13"/>
      <c r="M4" s="9"/>
      <c r="N4" s="95"/>
    </row>
    <row r="5" spans="1:14" ht="15.75" customHeight="1">
      <c r="A5" s="189"/>
      <c r="B5" s="190"/>
      <c r="C5" s="190"/>
      <c r="D5" s="191"/>
      <c r="E5" s="191"/>
      <c r="F5" s="195" t="s">
        <v>148</v>
      </c>
      <c r="G5" s="196" t="s">
        <v>358</v>
      </c>
      <c r="H5" s="196" t="s">
        <v>359</v>
      </c>
      <c r="I5" s="195" t="s">
        <v>148</v>
      </c>
      <c r="J5" s="195" t="s">
        <v>360</v>
      </c>
      <c r="K5" s="195" t="s">
        <v>323</v>
      </c>
      <c r="L5" s="13"/>
      <c r="M5" s="14" t="s">
        <v>324</v>
      </c>
      <c r="N5" s="15" t="s">
        <v>325</v>
      </c>
    </row>
    <row r="6" spans="1:14" ht="41.25" customHeight="1">
      <c r="A6" s="194"/>
      <c r="B6" s="197"/>
      <c r="C6" s="197"/>
      <c r="D6" s="198"/>
      <c r="E6" s="198"/>
      <c r="F6" s="198"/>
      <c r="G6" s="192"/>
      <c r="H6" s="192"/>
      <c r="I6" s="198"/>
      <c r="J6" s="198"/>
      <c r="K6" s="198"/>
      <c r="L6" s="10"/>
      <c r="M6" s="18"/>
      <c r="N6" s="9"/>
    </row>
    <row r="7" spans="1:14" ht="12.75" customHeight="1">
      <c r="A7" s="199">
        <v>1960</v>
      </c>
      <c r="B7" s="200">
        <v>27359</v>
      </c>
      <c r="C7" s="200">
        <f t="shared" ref="C7:C58" si="0">D7+E7+G7+H7+J7+K7</f>
        <v>20688</v>
      </c>
      <c r="D7" s="200">
        <v>13051</v>
      </c>
      <c r="E7" s="200">
        <v>5779</v>
      </c>
      <c r="F7" s="200">
        <f>G7+H7</f>
        <v>374</v>
      </c>
      <c r="G7" s="200">
        <v>64</v>
      </c>
      <c r="H7" s="200">
        <v>310</v>
      </c>
      <c r="I7" s="200">
        <f>J7+K7</f>
        <v>1484</v>
      </c>
      <c r="J7" s="200">
        <v>139</v>
      </c>
      <c r="K7" s="200">
        <v>1345</v>
      </c>
      <c r="L7" s="82" t="s">
        <v>65</v>
      </c>
      <c r="M7" s="176" t="s">
        <v>66</v>
      </c>
      <c r="N7" s="176" t="s">
        <v>66</v>
      </c>
    </row>
    <row r="8" spans="1:14" ht="12.75" customHeight="1">
      <c r="A8" s="199">
        <v>1961</v>
      </c>
      <c r="B8" s="200">
        <v>29229</v>
      </c>
      <c r="C8" s="200">
        <f t="shared" si="0"/>
        <v>21881</v>
      </c>
      <c r="D8" s="200">
        <v>13422</v>
      </c>
      <c r="E8" s="200">
        <v>6419</v>
      </c>
      <c r="F8" s="200">
        <f t="shared" ref="F8:F58" si="1">G8+H8</f>
        <v>414</v>
      </c>
      <c r="G8" s="200">
        <v>68</v>
      </c>
      <c r="H8" s="200">
        <v>346</v>
      </c>
      <c r="I8" s="200">
        <f t="shared" ref="I8:I58" si="2">J8+K8</f>
        <v>1626</v>
      </c>
      <c r="J8" s="200">
        <v>147</v>
      </c>
      <c r="K8" s="200">
        <v>1479</v>
      </c>
      <c r="L8" s="82" t="s">
        <v>65</v>
      </c>
      <c r="M8" s="176" t="s">
        <v>66</v>
      </c>
      <c r="N8" s="176" t="s">
        <v>66</v>
      </c>
    </row>
    <row r="9" spans="1:14" ht="12.75" customHeight="1">
      <c r="A9" s="199">
        <v>1962</v>
      </c>
      <c r="B9" s="200">
        <v>31907</v>
      </c>
      <c r="C9" s="200">
        <f t="shared" si="0"/>
        <v>23910</v>
      </c>
      <c r="D9" s="200">
        <v>14299</v>
      </c>
      <c r="E9" s="200">
        <v>7113</v>
      </c>
      <c r="F9" s="200">
        <f t="shared" si="1"/>
        <v>458</v>
      </c>
      <c r="G9" s="200">
        <v>74</v>
      </c>
      <c r="H9" s="200">
        <v>384</v>
      </c>
      <c r="I9" s="200">
        <f t="shared" si="2"/>
        <v>2040</v>
      </c>
      <c r="J9" s="200">
        <v>153</v>
      </c>
      <c r="K9" s="200">
        <v>1887</v>
      </c>
      <c r="L9" s="82" t="s">
        <v>65</v>
      </c>
      <c r="M9" s="176" t="s">
        <v>66</v>
      </c>
      <c r="N9" s="176" t="s">
        <v>66</v>
      </c>
    </row>
    <row r="10" spans="1:14" ht="12.75" customHeight="1">
      <c r="A10" s="199">
        <v>1963</v>
      </c>
      <c r="B10" s="200">
        <v>34727</v>
      </c>
      <c r="C10" s="200">
        <f t="shared" si="0"/>
        <v>25893</v>
      </c>
      <c r="D10" s="200">
        <v>15361</v>
      </c>
      <c r="E10" s="200">
        <v>7887</v>
      </c>
      <c r="F10" s="200">
        <f t="shared" si="1"/>
        <v>522</v>
      </c>
      <c r="G10" s="200">
        <v>81</v>
      </c>
      <c r="H10" s="200">
        <v>441</v>
      </c>
      <c r="I10" s="200">
        <f t="shared" si="2"/>
        <v>2123</v>
      </c>
      <c r="J10" s="200">
        <v>162</v>
      </c>
      <c r="K10" s="200">
        <v>1961</v>
      </c>
      <c r="L10" s="82" t="s">
        <v>65</v>
      </c>
      <c r="M10" s="176" t="s">
        <v>66</v>
      </c>
      <c r="N10" s="176" t="s">
        <v>66</v>
      </c>
    </row>
    <row r="11" spans="1:14" ht="12.75" customHeight="1">
      <c r="A11" s="199">
        <v>1964</v>
      </c>
      <c r="B11" s="200">
        <v>38544</v>
      </c>
      <c r="C11" s="200">
        <f t="shared" si="0"/>
        <v>29088</v>
      </c>
      <c r="D11" s="200">
        <v>16981</v>
      </c>
      <c r="E11" s="200">
        <v>8982</v>
      </c>
      <c r="F11" s="200">
        <f t="shared" si="1"/>
        <v>599</v>
      </c>
      <c r="G11" s="200">
        <v>90</v>
      </c>
      <c r="H11" s="200">
        <v>509</v>
      </c>
      <c r="I11" s="200">
        <f t="shared" si="2"/>
        <v>2526</v>
      </c>
      <c r="J11" s="200">
        <v>170</v>
      </c>
      <c r="K11" s="200">
        <v>2356</v>
      </c>
      <c r="L11" s="82" t="s">
        <v>65</v>
      </c>
      <c r="M11" s="176" t="s">
        <v>66</v>
      </c>
      <c r="N11" s="176" t="s">
        <v>66</v>
      </c>
    </row>
    <row r="12" spans="1:14" ht="12.75" customHeight="1">
      <c r="A12" s="199">
        <v>1965</v>
      </c>
      <c r="B12" s="200">
        <v>41957</v>
      </c>
      <c r="C12" s="200">
        <f t="shared" si="0"/>
        <v>31664</v>
      </c>
      <c r="D12" s="200">
        <v>18262</v>
      </c>
      <c r="E12" s="200">
        <v>10000</v>
      </c>
      <c r="F12" s="200">
        <f t="shared" si="1"/>
        <v>694</v>
      </c>
      <c r="G12" s="200">
        <v>99</v>
      </c>
      <c r="H12" s="200">
        <v>595</v>
      </c>
      <c r="I12" s="200">
        <f t="shared" si="2"/>
        <v>2708</v>
      </c>
      <c r="J12" s="200">
        <v>176</v>
      </c>
      <c r="K12" s="200">
        <v>2532</v>
      </c>
      <c r="L12" s="23">
        <v>31690</v>
      </c>
      <c r="M12" s="177">
        <f>C12-L12</f>
        <v>-26</v>
      </c>
      <c r="N12" s="85">
        <f>M12/C12</f>
        <v>-8.2112177867609904E-4</v>
      </c>
    </row>
    <row r="13" spans="1:14" ht="12.75" customHeight="1">
      <c r="A13" s="199">
        <v>1966</v>
      </c>
      <c r="B13" s="200">
        <v>46254</v>
      </c>
      <c r="C13" s="200">
        <f t="shared" si="0"/>
        <v>32480</v>
      </c>
      <c r="D13" s="200">
        <v>18647</v>
      </c>
      <c r="E13" s="200">
        <v>10223</v>
      </c>
      <c r="F13" s="200">
        <f t="shared" si="1"/>
        <v>801</v>
      </c>
      <c r="G13" s="200">
        <v>112</v>
      </c>
      <c r="H13" s="200">
        <v>689</v>
      </c>
      <c r="I13" s="200">
        <f t="shared" si="2"/>
        <v>2809</v>
      </c>
      <c r="J13" s="200">
        <v>186</v>
      </c>
      <c r="K13" s="200">
        <v>2623</v>
      </c>
      <c r="L13" s="23">
        <v>32492</v>
      </c>
      <c r="M13" s="177">
        <f t="shared" ref="M13:M58" si="3">C13-L13</f>
        <v>-12</v>
      </c>
      <c r="N13" s="85">
        <f t="shared" ref="N13:N58" si="4">M13/C13</f>
        <v>-3.6945812807881776E-4</v>
      </c>
    </row>
    <row r="14" spans="1:14" ht="12.75" customHeight="1">
      <c r="A14" s="199">
        <v>1967</v>
      </c>
      <c r="B14" s="200">
        <v>51780</v>
      </c>
      <c r="C14" s="200">
        <f t="shared" si="0"/>
        <v>32650</v>
      </c>
      <c r="D14" s="200">
        <v>18587</v>
      </c>
      <c r="E14" s="200">
        <v>10382</v>
      </c>
      <c r="F14" s="200">
        <f t="shared" si="1"/>
        <v>937</v>
      </c>
      <c r="G14" s="200">
        <v>132</v>
      </c>
      <c r="H14" s="200">
        <v>805</v>
      </c>
      <c r="I14" s="200">
        <f t="shared" si="2"/>
        <v>2744</v>
      </c>
      <c r="J14" s="200">
        <v>198</v>
      </c>
      <c r="K14" s="200">
        <v>2546</v>
      </c>
      <c r="L14" s="23">
        <v>32736</v>
      </c>
      <c r="M14" s="177">
        <f t="shared" si="3"/>
        <v>-86</v>
      </c>
      <c r="N14" s="85">
        <f t="shared" si="4"/>
        <v>-2.6339969372128637E-3</v>
      </c>
    </row>
    <row r="15" spans="1:14" ht="12.75" customHeight="1">
      <c r="A15" s="199">
        <v>1968</v>
      </c>
      <c r="B15" s="200">
        <v>58755</v>
      </c>
      <c r="C15" s="200">
        <f t="shared" si="0"/>
        <v>36730</v>
      </c>
      <c r="D15" s="200">
        <v>20628</v>
      </c>
      <c r="E15" s="200">
        <v>11754</v>
      </c>
      <c r="F15" s="200">
        <f t="shared" si="1"/>
        <v>1167</v>
      </c>
      <c r="G15" s="200">
        <v>150</v>
      </c>
      <c r="H15" s="200">
        <v>1017</v>
      </c>
      <c r="I15" s="200">
        <f t="shared" si="2"/>
        <v>3181</v>
      </c>
      <c r="J15" s="200">
        <v>208</v>
      </c>
      <c r="K15" s="200">
        <v>2973</v>
      </c>
      <c r="L15" s="23">
        <v>36815</v>
      </c>
      <c r="M15" s="177">
        <f t="shared" si="3"/>
        <v>-85</v>
      </c>
      <c r="N15" s="85">
        <f t="shared" si="4"/>
        <v>-2.3141845902531991E-3</v>
      </c>
    </row>
    <row r="16" spans="1:14" ht="12.75" customHeight="1">
      <c r="A16" s="199">
        <v>1969</v>
      </c>
      <c r="B16" s="200">
        <v>66215</v>
      </c>
      <c r="C16" s="200">
        <f t="shared" si="0"/>
        <v>41441</v>
      </c>
      <c r="D16" s="200">
        <v>22657</v>
      </c>
      <c r="E16" s="200">
        <v>13287</v>
      </c>
      <c r="F16" s="200">
        <f t="shared" si="1"/>
        <v>1392</v>
      </c>
      <c r="G16" s="200">
        <v>174</v>
      </c>
      <c r="H16" s="200">
        <v>1218</v>
      </c>
      <c r="I16" s="200">
        <f t="shared" si="2"/>
        <v>4105</v>
      </c>
      <c r="J16" s="200">
        <v>213</v>
      </c>
      <c r="K16" s="200">
        <v>3892</v>
      </c>
      <c r="L16" s="23">
        <v>41444</v>
      </c>
      <c r="M16" s="177">
        <f t="shared" si="3"/>
        <v>-3</v>
      </c>
      <c r="N16" s="85">
        <f t="shared" si="4"/>
        <v>-7.2392075480804028E-5</v>
      </c>
    </row>
    <row r="17" spans="1:14" ht="18" customHeight="1">
      <c r="A17" s="199">
        <v>1970</v>
      </c>
      <c r="B17" s="200">
        <v>74853</v>
      </c>
      <c r="C17" s="200">
        <f t="shared" si="0"/>
        <v>46824</v>
      </c>
      <c r="D17" s="200">
        <v>25015</v>
      </c>
      <c r="E17" s="200">
        <v>15424</v>
      </c>
      <c r="F17" s="200">
        <f t="shared" si="1"/>
        <v>1701</v>
      </c>
      <c r="G17" s="200">
        <v>200</v>
      </c>
      <c r="H17" s="200">
        <v>1501</v>
      </c>
      <c r="I17" s="200">
        <f t="shared" si="2"/>
        <v>4684</v>
      </c>
      <c r="J17" s="200">
        <v>215</v>
      </c>
      <c r="K17" s="200">
        <v>4469</v>
      </c>
      <c r="L17" s="23">
        <v>46763</v>
      </c>
      <c r="M17" s="177">
        <f t="shared" si="3"/>
        <v>61</v>
      </c>
      <c r="N17" s="85">
        <f t="shared" si="4"/>
        <v>1.3027507261233555E-3</v>
      </c>
    </row>
    <row r="18" spans="1:14" ht="12.75" customHeight="1">
      <c r="A18" s="199">
        <v>1971</v>
      </c>
      <c r="B18" s="200">
        <v>83240</v>
      </c>
      <c r="C18" s="200">
        <f t="shared" si="0"/>
        <v>51310</v>
      </c>
      <c r="D18" s="200">
        <v>26380</v>
      </c>
      <c r="E18" s="200">
        <v>17757</v>
      </c>
      <c r="F18" s="200">
        <f t="shared" si="1"/>
        <v>1905</v>
      </c>
      <c r="G18" s="200">
        <v>221</v>
      </c>
      <c r="H18" s="200">
        <v>1684</v>
      </c>
      <c r="I18" s="200">
        <f t="shared" si="2"/>
        <v>5268</v>
      </c>
      <c r="J18" s="200">
        <v>233</v>
      </c>
      <c r="K18" s="200">
        <v>5035</v>
      </c>
      <c r="L18" s="23">
        <v>51168</v>
      </c>
      <c r="M18" s="177">
        <f t="shared" si="3"/>
        <v>142</v>
      </c>
      <c r="N18" s="85">
        <f t="shared" si="4"/>
        <v>2.767491717014227E-3</v>
      </c>
    </row>
    <row r="19" spans="1:14" ht="12.75" customHeight="1">
      <c r="A19" s="199">
        <v>1972</v>
      </c>
      <c r="B19" s="200">
        <v>93141</v>
      </c>
      <c r="C19" s="200">
        <f t="shared" si="0"/>
        <v>57380</v>
      </c>
      <c r="D19" s="200">
        <v>28724</v>
      </c>
      <c r="E19" s="200">
        <v>20593</v>
      </c>
      <c r="F19" s="200">
        <f t="shared" si="1"/>
        <v>2202</v>
      </c>
      <c r="G19" s="200">
        <v>250</v>
      </c>
      <c r="H19" s="200">
        <v>1952</v>
      </c>
      <c r="I19" s="200">
        <f t="shared" si="2"/>
        <v>5861</v>
      </c>
      <c r="J19" s="200">
        <v>227</v>
      </c>
      <c r="K19" s="200">
        <v>5634</v>
      </c>
      <c r="L19" s="23">
        <v>57196</v>
      </c>
      <c r="M19" s="177">
        <f t="shared" si="3"/>
        <v>184</v>
      </c>
      <c r="N19" s="85">
        <f t="shared" si="4"/>
        <v>3.206692227256884E-3</v>
      </c>
    </row>
    <row r="20" spans="1:14" ht="12.75" customHeight="1">
      <c r="A20" s="199">
        <v>1973</v>
      </c>
      <c r="B20" s="200">
        <v>103365</v>
      </c>
      <c r="C20" s="200">
        <f t="shared" si="0"/>
        <v>63006</v>
      </c>
      <c r="D20" s="200">
        <v>31716</v>
      </c>
      <c r="E20" s="200">
        <v>22884</v>
      </c>
      <c r="F20" s="200">
        <f t="shared" si="1"/>
        <v>2357</v>
      </c>
      <c r="G20" s="200">
        <v>285</v>
      </c>
      <c r="H20" s="200">
        <v>2072</v>
      </c>
      <c r="I20" s="200">
        <f t="shared" si="2"/>
        <v>6049</v>
      </c>
      <c r="J20" s="200">
        <v>232</v>
      </c>
      <c r="K20" s="200">
        <v>5817</v>
      </c>
      <c r="L20" s="23">
        <v>62808</v>
      </c>
      <c r="M20" s="177">
        <f t="shared" si="3"/>
        <v>198</v>
      </c>
      <c r="N20" s="85">
        <f t="shared" si="4"/>
        <v>3.1425578516331779E-3</v>
      </c>
    </row>
    <row r="21" spans="1:14" ht="12.75" customHeight="1">
      <c r="A21" s="199">
        <v>1974</v>
      </c>
      <c r="B21" s="200">
        <v>117157</v>
      </c>
      <c r="C21" s="200">
        <f t="shared" si="0"/>
        <v>69565</v>
      </c>
      <c r="D21" s="200">
        <v>34467</v>
      </c>
      <c r="E21" s="200">
        <v>25972</v>
      </c>
      <c r="F21" s="200">
        <f t="shared" si="1"/>
        <v>2718</v>
      </c>
      <c r="G21" s="200">
        <v>331</v>
      </c>
      <c r="H21" s="200">
        <v>2387</v>
      </c>
      <c r="I21" s="200">
        <f t="shared" si="2"/>
        <v>6408</v>
      </c>
      <c r="J21" s="200">
        <v>252</v>
      </c>
      <c r="K21" s="200">
        <v>6156</v>
      </c>
      <c r="L21" s="23">
        <v>69306</v>
      </c>
      <c r="M21" s="177">
        <f t="shared" si="3"/>
        <v>259</v>
      </c>
      <c r="N21" s="85">
        <f t="shared" si="4"/>
        <v>3.7231366348019837E-3</v>
      </c>
    </row>
    <row r="22" spans="1:14" ht="12.75" customHeight="1">
      <c r="A22" s="199">
        <v>1975</v>
      </c>
      <c r="B22" s="200">
        <v>133585</v>
      </c>
      <c r="C22" s="200">
        <f t="shared" si="0"/>
        <v>77561</v>
      </c>
      <c r="D22" s="200">
        <v>37372</v>
      </c>
      <c r="E22" s="200">
        <v>30461</v>
      </c>
      <c r="F22" s="200">
        <f t="shared" si="1"/>
        <v>3001</v>
      </c>
      <c r="G22" s="200">
        <v>377</v>
      </c>
      <c r="H22" s="200">
        <v>2624</v>
      </c>
      <c r="I22" s="200">
        <f t="shared" si="2"/>
        <v>6727</v>
      </c>
      <c r="J22" s="200">
        <v>264</v>
      </c>
      <c r="K22" s="200">
        <v>6463</v>
      </c>
      <c r="L22" s="23">
        <v>77243</v>
      </c>
      <c r="M22" s="177">
        <f t="shared" si="3"/>
        <v>318</v>
      </c>
      <c r="N22" s="85">
        <f t="shared" si="4"/>
        <v>4.0999987106922296E-3</v>
      </c>
    </row>
    <row r="23" spans="1:14" ht="12.75" customHeight="1">
      <c r="A23" s="199">
        <v>1976</v>
      </c>
      <c r="B23" s="200">
        <v>153011</v>
      </c>
      <c r="C23" s="200">
        <f t="shared" si="0"/>
        <v>89621</v>
      </c>
      <c r="D23" s="200">
        <v>40767</v>
      </c>
      <c r="E23" s="200">
        <v>37295</v>
      </c>
      <c r="F23" s="200">
        <f t="shared" si="1"/>
        <v>4194</v>
      </c>
      <c r="G23" s="200">
        <v>452</v>
      </c>
      <c r="H23" s="200">
        <v>3742</v>
      </c>
      <c r="I23" s="200">
        <f t="shared" si="2"/>
        <v>7365</v>
      </c>
      <c r="J23" s="200">
        <v>267</v>
      </c>
      <c r="K23" s="200">
        <v>7098</v>
      </c>
      <c r="L23" s="23">
        <v>89275</v>
      </c>
      <c r="M23" s="177">
        <f t="shared" si="3"/>
        <v>346</v>
      </c>
      <c r="N23" s="85">
        <f t="shared" si="4"/>
        <v>3.8607022907577466E-3</v>
      </c>
    </row>
    <row r="24" spans="1:14" ht="12.75" customHeight="1">
      <c r="A24" s="199">
        <v>1977</v>
      </c>
      <c r="B24" s="200">
        <v>173979</v>
      </c>
      <c r="C24" s="200">
        <f t="shared" si="0"/>
        <v>102858</v>
      </c>
      <c r="D24" s="200">
        <v>44996</v>
      </c>
      <c r="E24" s="200">
        <v>45538</v>
      </c>
      <c r="F24" s="200">
        <f t="shared" si="1"/>
        <v>4680</v>
      </c>
      <c r="G24" s="200">
        <v>534</v>
      </c>
      <c r="H24" s="200">
        <v>4146</v>
      </c>
      <c r="I24" s="200">
        <f t="shared" si="2"/>
        <v>7644</v>
      </c>
      <c r="J24" s="200">
        <v>220</v>
      </c>
      <c r="K24" s="200">
        <v>7424</v>
      </c>
      <c r="L24" s="23">
        <v>102220</v>
      </c>
      <c r="M24" s="177">
        <f t="shared" si="3"/>
        <v>638</v>
      </c>
      <c r="N24" s="85">
        <f t="shared" si="4"/>
        <v>6.2027260883937077E-3</v>
      </c>
    </row>
    <row r="25" spans="1:14" ht="12.75" customHeight="1">
      <c r="A25" s="199">
        <v>1978</v>
      </c>
      <c r="B25" s="200">
        <v>195528</v>
      </c>
      <c r="C25" s="200">
        <f t="shared" si="0"/>
        <v>114575</v>
      </c>
      <c r="D25" s="200">
        <v>48169</v>
      </c>
      <c r="E25" s="200">
        <v>52347</v>
      </c>
      <c r="F25" s="200">
        <f t="shared" si="1"/>
        <v>5782</v>
      </c>
      <c r="G25" s="200">
        <v>621</v>
      </c>
      <c r="H25" s="200">
        <v>5161</v>
      </c>
      <c r="I25" s="200">
        <f t="shared" si="2"/>
        <v>8277</v>
      </c>
      <c r="J25" s="200">
        <v>236</v>
      </c>
      <c r="K25" s="200">
        <v>8041</v>
      </c>
      <c r="L25" s="23">
        <v>113731</v>
      </c>
      <c r="M25" s="177">
        <f t="shared" si="3"/>
        <v>844</v>
      </c>
      <c r="N25" s="85">
        <f t="shared" si="4"/>
        <v>7.3663539166484836E-3</v>
      </c>
    </row>
    <row r="26" spans="1:14" ht="12.75" customHeight="1">
      <c r="A26" s="199">
        <v>1979</v>
      </c>
      <c r="B26" s="200">
        <v>221658</v>
      </c>
      <c r="C26" s="200">
        <f t="shared" si="0"/>
        <v>129431</v>
      </c>
      <c r="D26" s="200">
        <v>52473</v>
      </c>
      <c r="E26" s="200">
        <v>60768</v>
      </c>
      <c r="F26" s="200">
        <f t="shared" si="1"/>
        <v>6912</v>
      </c>
      <c r="G26" s="200">
        <v>723</v>
      </c>
      <c r="H26" s="200">
        <v>6189</v>
      </c>
      <c r="I26" s="200">
        <f t="shared" si="2"/>
        <v>9278</v>
      </c>
      <c r="J26" s="200">
        <v>254</v>
      </c>
      <c r="K26" s="200">
        <v>9024</v>
      </c>
      <c r="L26" s="23">
        <v>128489</v>
      </c>
      <c r="M26" s="177">
        <f t="shared" si="3"/>
        <v>942</v>
      </c>
      <c r="N26" s="85">
        <f t="shared" si="4"/>
        <v>7.2780091322789753E-3</v>
      </c>
    </row>
    <row r="27" spans="1:14" ht="18" customHeight="1">
      <c r="A27" s="199">
        <v>1980</v>
      </c>
      <c r="B27" s="200">
        <v>255784</v>
      </c>
      <c r="C27" s="200">
        <f t="shared" si="0"/>
        <v>147897</v>
      </c>
      <c r="D27" s="200">
        <v>58396</v>
      </c>
      <c r="E27" s="200">
        <v>69047</v>
      </c>
      <c r="F27" s="200">
        <f t="shared" si="1"/>
        <v>9443</v>
      </c>
      <c r="G27" s="200">
        <v>829</v>
      </c>
      <c r="H27" s="200">
        <v>8614</v>
      </c>
      <c r="I27" s="200">
        <f t="shared" si="2"/>
        <v>11011</v>
      </c>
      <c r="J27" s="200">
        <v>292</v>
      </c>
      <c r="K27" s="200">
        <v>10719</v>
      </c>
      <c r="L27" s="23">
        <v>147026</v>
      </c>
      <c r="M27" s="177">
        <f t="shared" si="3"/>
        <v>871</v>
      </c>
      <c r="N27" s="85">
        <f t="shared" si="4"/>
        <v>5.8892337234697119E-3</v>
      </c>
    </row>
    <row r="28" spans="1:14" ht="12.75" customHeight="1">
      <c r="A28" s="199">
        <v>1981</v>
      </c>
      <c r="B28" s="200">
        <v>296739</v>
      </c>
      <c r="C28" s="200">
        <f t="shared" si="0"/>
        <v>172261</v>
      </c>
      <c r="D28" s="200">
        <v>65629</v>
      </c>
      <c r="E28" s="200">
        <v>81608</v>
      </c>
      <c r="F28" s="200">
        <f t="shared" si="1"/>
        <v>11639</v>
      </c>
      <c r="G28" s="200">
        <v>954</v>
      </c>
      <c r="H28" s="200">
        <v>10685</v>
      </c>
      <c r="I28" s="200">
        <f t="shared" si="2"/>
        <v>13385</v>
      </c>
      <c r="J28" s="200">
        <v>312</v>
      </c>
      <c r="K28" s="200">
        <v>13073</v>
      </c>
      <c r="L28" s="23">
        <v>170977</v>
      </c>
      <c r="M28" s="177">
        <f t="shared" si="3"/>
        <v>1284</v>
      </c>
      <c r="N28" s="85">
        <f t="shared" si="4"/>
        <v>7.4538055624894786E-3</v>
      </c>
    </row>
    <row r="29" spans="1:14" ht="12.75" customHeight="1">
      <c r="A29" s="199">
        <v>1982</v>
      </c>
      <c r="B29" s="200">
        <v>334699</v>
      </c>
      <c r="C29" s="200">
        <f t="shared" si="0"/>
        <v>196785</v>
      </c>
      <c r="D29" s="200">
        <v>72739</v>
      </c>
      <c r="E29" s="200">
        <v>94012</v>
      </c>
      <c r="F29" s="200">
        <f t="shared" si="1"/>
        <v>13739</v>
      </c>
      <c r="G29" s="200">
        <v>1043</v>
      </c>
      <c r="H29" s="200">
        <v>12696</v>
      </c>
      <c r="I29" s="200">
        <f t="shared" si="2"/>
        <v>16295</v>
      </c>
      <c r="J29" s="200">
        <v>390</v>
      </c>
      <c r="K29" s="200">
        <v>15905</v>
      </c>
      <c r="L29" s="23">
        <v>195098</v>
      </c>
      <c r="M29" s="177">
        <f t="shared" si="3"/>
        <v>1687</v>
      </c>
      <c r="N29" s="85">
        <f t="shared" si="4"/>
        <v>8.572807886779988E-3</v>
      </c>
    </row>
    <row r="30" spans="1:14" ht="12.75" customHeight="1">
      <c r="A30" s="199">
        <v>1983</v>
      </c>
      <c r="B30" s="200">
        <v>368987</v>
      </c>
      <c r="C30" s="200">
        <f t="shared" si="0"/>
        <v>217059</v>
      </c>
      <c r="D30" s="200">
        <v>78924</v>
      </c>
      <c r="E30" s="200">
        <v>104894</v>
      </c>
      <c r="F30" s="200">
        <f t="shared" si="1"/>
        <v>15238</v>
      </c>
      <c r="G30" s="200">
        <v>1157</v>
      </c>
      <c r="H30" s="200">
        <v>14081</v>
      </c>
      <c r="I30" s="200">
        <f t="shared" si="2"/>
        <v>18003</v>
      </c>
      <c r="J30" s="200">
        <v>456</v>
      </c>
      <c r="K30" s="200">
        <v>17547</v>
      </c>
      <c r="L30" s="23">
        <v>215028</v>
      </c>
      <c r="M30" s="177">
        <f t="shared" si="3"/>
        <v>2031</v>
      </c>
      <c r="N30" s="85">
        <f t="shared" si="4"/>
        <v>9.3569029618675113E-3</v>
      </c>
    </row>
    <row r="31" spans="1:14" ht="12.75" customHeight="1">
      <c r="A31" s="199">
        <v>1984</v>
      </c>
      <c r="B31" s="200">
        <v>406512</v>
      </c>
      <c r="C31" s="200">
        <f t="shared" si="0"/>
        <v>240650</v>
      </c>
      <c r="D31" s="200">
        <v>86824</v>
      </c>
      <c r="E31" s="200">
        <v>118884</v>
      </c>
      <c r="F31" s="200">
        <f t="shared" si="1"/>
        <v>16919</v>
      </c>
      <c r="G31" s="200">
        <v>1306</v>
      </c>
      <c r="H31" s="200">
        <v>15613</v>
      </c>
      <c r="I31" s="200">
        <f t="shared" si="2"/>
        <v>18023</v>
      </c>
      <c r="J31" s="200">
        <v>507</v>
      </c>
      <c r="K31" s="200">
        <v>17516</v>
      </c>
      <c r="L31" s="23">
        <v>238445</v>
      </c>
      <c r="M31" s="177">
        <f t="shared" si="3"/>
        <v>2205</v>
      </c>
      <c r="N31" s="85">
        <f t="shared" si="4"/>
        <v>9.1626843964263457E-3</v>
      </c>
    </row>
    <row r="32" spans="1:14" ht="12.75" customHeight="1">
      <c r="A32" s="199">
        <v>1985</v>
      </c>
      <c r="B32" s="200">
        <v>444608</v>
      </c>
      <c r="C32" s="200">
        <f t="shared" si="0"/>
        <v>264173</v>
      </c>
      <c r="D32" s="200">
        <v>95977</v>
      </c>
      <c r="E32" s="200">
        <v>131191</v>
      </c>
      <c r="F32" s="200">
        <f t="shared" si="1"/>
        <v>19890</v>
      </c>
      <c r="G32" s="200">
        <v>1392</v>
      </c>
      <c r="H32" s="200">
        <v>18498</v>
      </c>
      <c r="I32" s="200">
        <f t="shared" si="2"/>
        <v>17115</v>
      </c>
      <c r="J32" s="200">
        <v>539</v>
      </c>
      <c r="K32" s="200">
        <v>16576</v>
      </c>
      <c r="L32" s="23">
        <v>261929</v>
      </c>
      <c r="M32" s="177">
        <f t="shared" si="3"/>
        <v>2244</v>
      </c>
      <c r="N32" s="85">
        <f t="shared" si="4"/>
        <v>8.4944335719396007E-3</v>
      </c>
    </row>
    <row r="33" spans="1:14" ht="12.75" customHeight="1">
      <c r="A33" s="199">
        <v>1986</v>
      </c>
      <c r="B33" s="200">
        <v>476892</v>
      </c>
      <c r="C33" s="200">
        <f t="shared" si="0"/>
        <v>279647</v>
      </c>
      <c r="D33" s="200">
        <v>104035</v>
      </c>
      <c r="E33" s="200">
        <v>136026</v>
      </c>
      <c r="F33" s="200">
        <f t="shared" si="1"/>
        <v>22350</v>
      </c>
      <c r="G33" s="200">
        <v>1520</v>
      </c>
      <c r="H33" s="200">
        <v>20830</v>
      </c>
      <c r="I33" s="200">
        <f t="shared" si="2"/>
        <v>17236</v>
      </c>
      <c r="J33" s="200">
        <v>782</v>
      </c>
      <c r="K33" s="200">
        <v>16454</v>
      </c>
      <c r="L33" s="23">
        <v>277494</v>
      </c>
      <c r="M33" s="177">
        <f t="shared" si="3"/>
        <v>2153</v>
      </c>
      <c r="N33" s="85">
        <f t="shared" si="4"/>
        <v>7.6989919434143758E-3</v>
      </c>
    </row>
    <row r="34" spans="1:14" ht="12.75" customHeight="1">
      <c r="A34" s="199">
        <v>1987</v>
      </c>
      <c r="B34" s="200">
        <v>519117</v>
      </c>
      <c r="C34" s="200">
        <f t="shared" si="0"/>
        <v>302972</v>
      </c>
      <c r="D34" s="200">
        <v>110162</v>
      </c>
      <c r="E34" s="200">
        <v>149211</v>
      </c>
      <c r="F34" s="200">
        <f t="shared" si="1"/>
        <v>24666</v>
      </c>
      <c r="G34" s="200">
        <v>1681</v>
      </c>
      <c r="H34" s="200">
        <v>22985</v>
      </c>
      <c r="I34" s="200">
        <f t="shared" si="2"/>
        <v>18933</v>
      </c>
      <c r="J34" s="200">
        <v>800</v>
      </c>
      <c r="K34" s="200">
        <v>18133</v>
      </c>
      <c r="L34" s="23">
        <v>300574</v>
      </c>
      <c r="M34" s="177">
        <f t="shared" si="3"/>
        <v>2398</v>
      </c>
      <c r="N34" s="85">
        <f t="shared" si="4"/>
        <v>7.9149228311527139E-3</v>
      </c>
    </row>
    <row r="35" spans="1:14" ht="12.75" customHeight="1">
      <c r="A35" s="199">
        <v>1988</v>
      </c>
      <c r="B35" s="200">
        <v>581698</v>
      </c>
      <c r="C35" s="200">
        <f t="shared" si="0"/>
        <v>347698</v>
      </c>
      <c r="D35" s="200">
        <v>120828</v>
      </c>
      <c r="E35" s="200">
        <v>175906</v>
      </c>
      <c r="F35" s="200">
        <f t="shared" si="1"/>
        <v>28795</v>
      </c>
      <c r="G35" s="200">
        <v>1859</v>
      </c>
      <c r="H35" s="200">
        <v>26936</v>
      </c>
      <c r="I35" s="200">
        <f t="shared" si="2"/>
        <v>22169</v>
      </c>
      <c r="J35" s="200">
        <v>839</v>
      </c>
      <c r="K35" s="200">
        <v>21330</v>
      </c>
      <c r="L35" s="23">
        <v>343987</v>
      </c>
      <c r="M35" s="177">
        <f t="shared" si="3"/>
        <v>3711</v>
      </c>
      <c r="N35" s="85">
        <f t="shared" si="4"/>
        <v>1.0673055352633607E-2</v>
      </c>
    </row>
    <row r="36" spans="1:14" ht="12.75" customHeight="1">
      <c r="A36" s="199">
        <v>1989</v>
      </c>
      <c r="B36" s="200">
        <v>647465</v>
      </c>
      <c r="C36" s="200">
        <f t="shared" si="0"/>
        <v>386777</v>
      </c>
      <c r="D36" s="200">
        <v>127313</v>
      </c>
      <c r="E36" s="200">
        <v>204997</v>
      </c>
      <c r="F36" s="200">
        <f t="shared" si="1"/>
        <v>30286</v>
      </c>
      <c r="G36" s="200">
        <v>2024</v>
      </c>
      <c r="H36" s="200">
        <v>28262</v>
      </c>
      <c r="I36" s="200">
        <f t="shared" si="2"/>
        <v>24181</v>
      </c>
      <c r="J36" s="200">
        <v>882</v>
      </c>
      <c r="K36" s="200">
        <v>23299</v>
      </c>
      <c r="L36" s="23">
        <v>382780</v>
      </c>
      <c r="M36" s="177">
        <f t="shared" si="3"/>
        <v>3997</v>
      </c>
      <c r="N36" s="85">
        <f t="shared" si="4"/>
        <v>1.0334120177776858E-2</v>
      </c>
    </row>
    <row r="37" spans="1:14" ht="18" customHeight="1">
      <c r="A37" s="199">
        <v>1990</v>
      </c>
      <c r="B37" s="200">
        <v>724278</v>
      </c>
      <c r="C37" s="200">
        <f t="shared" si="0"/>
        <v>432037</v>
      </c>
      <c r="D37" s="200">
        <v>138643</v>
      </c>
      <c r="E37" s="200">
        <v>234231</v>
      </c>
      <c r="F37" s="200">
        <f t="shared" si="1"/>
        <v>31768</v>
      </c>
      <c r="G37" s="200">
        <v>2214</v>
      </c>
      <c r="H37" s="200">
        <v>29554</v>
      </c>
      <c r="I37" s="200">
        <f t="shared" si="2"/>
        <v>27395</v>
      </c>
      <c r="J37" s="200">
        <v>961</v>
      </c>
      <c r="K37" s="200">
        <v>26434</v>
      </c>
      <c r="L37" s="23">
        <v>427390</v>
      </c>
      <c r="M37" s="177">
        <f t="shared" si="3"/>
        <v>4647</v>
      </c>
      <c r="N37" s="85">
        <f t="shared" si="4"/>
        <v>1.0756023210974986E-2</v>
      </c>
    </row>
    <row r="38" spans="1:14" ht="12.75" customHeight="1">
      <c r="A38" s="199">
        <v>1991</v>
      </c>
      <c r="B38" s="200">
        <v>791525</v>
      </c>
      <c r="C38" s="200">
        <f t="shared" si="0"/>
        <v>460336</v>
      </c>
      <c r="D38" s="200">
        <v>141690</v>
      </c>
      <c r="E38" s="200">
        <v>255603</v>
      </c>
      <c r="F38" s="200">
        <f t="shared" si="1"/>
        <v>34243</v>
      </c>
      <c r="G38" s="200">
        <v>2325</v>
      </c>
      <c r="H38" s="200">
        <v>31918</v>
      </c>
      <c r="I38" s="200">
        <f t="shared" si="2"/>
        <v>28800</v>
      </c>
      <c r="J38" s="200">
        <v>1091</v>
      </c>
      <c r="K38" s="200">
        <v>27709</v>
      </c>
      <c r="L38" s="23">
        <v>456093</v>
      </c>
      <c r="M38" s="177">
        <f t="shared" si="3"/>
        <v>4243</v>
      </c>
      <c r="N38" s="85">
        <f t="shared" si="4"/>
        <v>9.2171804942476794E-3</v>
      </c>
    </row>
    <row r="39" spans="1:14" ht="12.75" customHeight="1">
      <c r="A39" s="199">
        <v>1992</v>
      </c>
      <c r="B39" s="200">
        <v>857910</v>
      </c>
      <c r="C39" s="200">
        <f t="shared" si="0"/>
        <v>488735</v>
      </c>
      <c r="D39" s="200">
        <v>144215</v>
      </c>
      <c r="E39" s="200">
        <v>275579</v>
      </c>
      <c r="F39" s="200">
        <f t="shared" si="1"/>
        <v>36804</v>
      </c>
      <c r="G39" s="200">
        <v>2463</v>
      </c>
      <c r="H39" s="200">
        <v>34341</v>
      </c>
      <c r="I39" s="200">
        <f t="shared" si="2"/>
        <v>32137</v>
      </c>
      <c r="J39" s="200">
        <v>1208</v>
      </c>
      <c r="K39" s="200">
        <v>30929</v>
      </c>
      <c r="L39" s="23">
        <v>485389</v>
      </c>
      <c r="M39" s="177">
        <f t="shared" si="3"/>
        <v>3346</v>
      </c>
      <c r="N39" s="85">
        <f t="shared" si="4"/>
        <v>6.8462459205909133E-3</v>
      </c>
    </row>
    <row r="40" spans="1:14" ht="12.75" customHeight="1">
      <c r="A40" s="199">
        <v>1993</v>
      </c>
      <c r="B40" s="200">
        <v>921492</v>
      </c>
      <c r="C40" s="200">
        <f t="shared" si="0"/>
        <v>515176</v>
      </c>
      <c r="D40" s="200">
        <v>145301</v>
      </c>
      <c r="E40" s="200">
        <v>296285</v>
      </c>
      <c r="F40" s="200">
        <f t="shared" si="1"/>
        <v>39474</v>
      </c>
      <c r="G40" s="200">
        <v>2588</v>
      </c>
      <c r="H40" s="200">
        <v>36886</v>
      </c>
      <c r="I40" s="200">
        <f t="shared" si="2"/>
        <v>34116</v>
      </c>
      <c r="J40" s="200">
        <v>1298</v>
      </c>
      <c r="K40" s="200">
        <v>32818</v>
      </c>
      <c r="L40" s="23">
        <v>512324</v>
      </c>
      <c r="M40" s="177">
        <f t="shared" si="3"/>
        <v>2852</v>
      </c>
      <c r="N40" s="85">
        <f t="shared" si="4"/>
        <v>5.535972172616737E-3</v>
      </c>
    </row>
    <row r="41" spans="1:14" ht="12.75" customHeight="1">
      <c r="A41" s="199">
        <v>1994</v>
      </c>
      <c r="B41" s="200">
        <v>972687</v>
      </c>
      <c r="C41" s="200">
        <f t="shared" si="0"/>
        <v>530283</v>
      </c>
      <c r="D41" s="200">
        <v>143458</v>
      </c>
      <c r="E41" s="200">
        <v>309497</v>
      </c>
      <c r="F41" s="200">
        <f t="shared" si="1"/>
        <v>41431</v>
      </c>
      <c r="G41" s="200">
        <v>2707</v>
      </c>
      <c r="H41" s="200">
        <v>38724</v>
      </c>
      <c r="I41" s="200">
        <f t="shared" si="2"/>
        <v>35897</v>
      </c>
      <c r="J41" s="200">
        <v>1432</v>
      </c>
      <c r="K41" s="200">
        <v>34465</v>
      </c>
      <c r="L41" s="23">
        <v>526110</v>
      </c>
      <c r="M41" s="177">
        <f t="shared" si="3"/>
        <v>4173</v>
      </c>
      <c r="N41" s="85">
        <f t="shared" si="4"/>
        <v>7.8693829521217923E-3</v>
      </c>
    </row>
    <row r="42" spans="1:14" ht="12.75" customHeight="1">
      <c r="A42" s="199">
        <v>1995</v>
      </c>
      <c r="B42" s="200">
        <v>1027432</v>
      </c>
      <c r="C42" s="200">
        <f t="shared" si="0"/>
        <v>555640</v>
      </c>
      <c r="D42" s="200">
        <v>146356</v>
      </c>
      <c r="E42" s="200">
        <v>326772</v>
      </c>
      <c r="F42" s="200">
        <f t="shared" si="1"/>
        <v>45676</v>
      </c>
      <c r="G42" s="200">
        <v>2839</v>
      </c>
      <c r="H42" s="200">
        <v>42837</v>
      </c>
      <c r="I42" s="200">
        <f t="shared" si="2"/>
        <v>36836</v>
      </c>
      <c r="J42" s="200">
        <v>1563</v>
      </c>
      <c r="K42" s="200">
        <v>35273</v>
      </c>
      <c r="L42" s="23">
        <v>551346</v>
      </c>
      <c r="M42" s="177">
        <f t="shared" si="3"/>
        <v>4294</v>
      </c>
      <c r="N42" s="85">
        <f t="shared" si="4"/>
        <v>7.728025340148297E-3</v>
      </c>
    </row>
    <row r="43" spans="1:14" ht="12.75" customHeight="1">
      <c r="A43" s="199">
        <v>1996</v>
      </c>
      <c r="B43" s="200">
        <v>1081849</v>
      </c>
      <c r="C43" s="200">
        <f t="shared" si="0"/>
        <v>586334</v>
      </c>
      <c r="D43" s="200">
        <v>152194</v>
      </c>
      <c r="E43" s="200">
        <v>345803</v>
      </c>
      <c r="F43" s="200">
        <f t="shared" si="1"/>
        <v>49445</v>
      </c>
      <c r="G43" s="200">
        <v>2950</v>
      </c>
      <c r="H43" s="200">
        <v>46495</v>
      </c>
      <c r="I43" s="200">
        <f t="shared" si="2"/>
        <v>38892</v>
      </c>
      <c r="J43" s="200">
        <v>1676</v>
      </c>
      <c r="K43" s="200">
        <v>37216</v>
      </c>
      <c r="L43" s="23">
        <v>579870</v>
      </c>
      <c r="M43" s="177">
        <f t="shared" si="3"/>
        <v>6464</v>
      </c>
      <c r="N43" s="85">
        <f t="shared" si="4"/>
        <v>1.1024433172901452E-2</v>
      </c>
    </row>
    <row r="44" spans="1:14" ht="12.75" customHeight="1">
      <c r="A44" s="199">
        <v>1997</v>
      </c>
      <c r="B44" s="200">
        <v>1142621</v>
      </c>
      <c r="C44" s="200">
        <f t="shared" si="0"/>
        <v>622109</v>
      </c>
      <c r="D44" s="200">
        <v>163812</v>
      </c>
      <c r="E44" s="200">
        <v>362428</v>
      </c>
      <c r="F44" s="200">
        <f t="shared" si="1"/>
        <v>54188</v>
      </c>
      <c r="G44" s="200">
        <v>3084</v>
      </c>
      <c r="H44" s="200">
        <v>51104</v>
      </c>
      <c r="I44" s="200">
        <f t="shared" si="2"/>
        <v>41681</v>
      </c>
      <c r="J44" s="200">
        <v>1870</v>
      </c>
      <c r="K44" s="200">
        <v>39811</v>
      </c>
      <c r="L44" s="23">
        <v>613525</v>
      </c>
      <c r="M44" s="177">
        <f t="shared" si="3"/>
        <v>8584</v>
      </c>
      <c r="N44" s="85">
        <f t="shared" si="4"/>
        <v>1.3798225069883253E-2</v>
      </c>
    </row>
    <row r="45" spans="1:14" ht="12.75" customHeight="1">
      <c r="A45" s="199">
        <v>1998</v>
      </c>
      <c r="B45" s="200">
        <v>1208933</v>
      </c>
      <c r="C45" s="200">
        <f t="shared" si="0"/>
        <v>672961</v>
      </c>
      <c r="D45" s="200">
        <v>179413</v>
      </c>
      <c r="E45" s="200">
        <v>387900</v>
      </c>
      <c r="F45" s="200">
        <f t="shared" si="1"/>
        <v>59340</v>
      </c>
      <c r="G45" s="200">
        <v>3190</v>
      </c>
      <c r="H45" s="200">
        <v>56150</v>
      </c>
      <c r="I45" s="200">
        <f t="shared" si="2"/>
        <v>46308</v>
      </c>
      <c r="J45" s="200">
        <v>2040</v>
      </c>
      <c r="K45" s="200">
        <v>44268</v>
      </c>
      <c r="L45" s="23">
        <v>662112</v>
      </c>
      <c r="M45" s="177">
        <f t="shared" si="3"/>
        <v>10849</v>
      </c>
      <c r="N45" s="85">
        <f t="shared" si="4"/>
        <v>1.6121290832603968E-2</v>
      </c>
    </row>
    <row r="46" spans="1:14" ht="12.75" customHeight="1">
      <c r="A46" s="199">
        <v>1999</v>
      </c>
      <c r="B46" s="200">
        <v>1286456</v>
      </c>
      <c r="C46" s="200">
        <f t="shared" si="0"/>
        <v>721887</v>
      </c>
      <c r="D46" s="200">
        <v>190448</v>
      </c>
      <c r="E46" s="200">
        <v>419600</v>
      </c>
      <c r="F46" s="200">
        <f t="shared" si="1"/>
        <v>61539</v>
      </c>
      <c r="G46" s="200">
        <v>3291</v>
      </c>
      <c r="H46" s="200">
        <v>58248</v>
      </c>
      <c r="I46" s="200">
        <f t="shared" si="2"/>
        <v>50300</v>
      </c>
      <c r="J46" s="200">
        <v>2149</v>
      </c>
      <c r="K46" s="200">
        <v>48151</v>
      </c>
      <c r="L46" s="23">
        <v>709219</v>
      </c>
      <c r="M46" s="177">
        <f t="shared" si="3"/>
        <v>12668</v>
      </c>
      <c r="N46" s="85">
        <f t="shared" si="4"/>
        <v>1.7548452874203303E-2</v>
      </c>
    </row>
    <row r="47" spans="1:14" ht="18" customHeight="1">
      <c r="A47" s="199">
        <v>2000</v>
      </c>
      <c r="B47" s="200">
        <v>1377178</v>
      </c>
      <c r="C47" s="200">
        <f t="shared" si="0"/>
        <v>772277</v>
      </c>
      <c r="D47" s="200">
        <v>201737</v>
      </c>
      <c r="E47" s="200">
        <v>459203</v>
      </c>
      <c r="F47" s="200">
        <f t="shared" si="1"/>
        <v>60933</v>
      </c>
      <c r="G47" s="200">
        <v>3481</v>
      </c>
      <c r="H47" s="200">
        <v>57452</v>
      </c>
      <c r="I47" s="200">
        <f t="shared" si="2"/>
        <v>50404</v>
      </c>
      <c r="J47" s="200">
        <v>2420</v>
      </c>
      <c r="K47" s="200">
        <v>47984</v>
      </c>
      <c r="L47" s="23">
        <v>756458</v>
      </c>
      <c r="M47" s="177">
        <f t="shared" si="3"/>
        <v>15819</v>
      </c>
      <c r="N47" s="85">
        <f t="shared" si="4"/>
        <v>2.0483582963107795E-2</v>
      </c>
    </row>
    <row r="48" spans="1:14" ht="12.75" customHeight="1">
      <c r="A48" s="199">
        <v>2001</v>
      </c>
      <c r="B48" s="200">
        <v>1493347</v>
      </c>
      <c r="C48" s="200">
        <f t="shared" si="0"/>
        <v>822433</v>
      </c>
      <c r="D48" s="200">
        <v>209011</v>
      </c>
      <c r="E48" s="200">
        <v>502495</v>
      </c>
      <c r="F48" s="200">
        <f t="shared" si="1"/>
        <v>60023</v>
      </c>
      <c r="G48" s="200">
        <v>3613</v>
      </c>
      <c r="H48" s="200">
        <v>56410</v>
      </c>
      <c r="I48" s="200">
        <f t="shared" si="2"/>
        <v>50904</v>
      </c>
      <c r="J48" s="200">
        <v>2464</v>
      </c>
      <c r="K48" s="200">
        <v>48440</v>
      </c>
      <c r="L48" s="23">
        <v>807036</v>
      </c>
      <c r="M48" s="177">
        <f t="shared" si="3"/>
        <v>15397</v>
      </c>
      <c r="N48" s="85">
        <f t="shared" si="4"/>
        <v>1.8721281855178476E-2</v>
      </c>
    </row>
    <row r="49" spans="1:24" ht="12.75" customHeight="1">
      <c r="A49" s="199">
        <v>2002</v>
      </c>
      <c r="B49" s="200">
        <v>1637956</v>
      </c>
      <c r="C49" s="200">
        <f t="shared" si="0"/>
        <v>903105</v>
      </c>
      <c r="D49" s="200">
        <v>221866</v>
      </c>
      <c r="E49" s="200">
        <v>561417</v>
      </c>
      <c r="F49" s="200">
        <f t="shared" si="1"/>
        <v>62409</v>
      </c>
      <c r="G49" s="200">
        <v>3730</v>
      </c>
      <c r="H49" s="200">
        <v>58679</v>
      </c>
      <c r="I49" s="200">
        <f t="shared" si="2"/>
        <v>57413</v>
      </c>
      <c r="J49" s="200">
        <v>2550</v>
      </c>
      <c r="K49" s="200">
        <v>54863</v>
      </c>
      <c r="L49" s="23">
        <v>880606</v>
      </c>
      <c r="M49" s="177">
        <f t="shared" si="3"/>
        <v>22499</v>
      </c>
      <c r="N49" s="85">
        <f t="shared" si="4"/>
        <v>2.4912939248481626E-2</v>
      </c>
    </row>
    <row r="50" spans="1:24" ht="12.75" customHeight="1">
      <c r="A50" s="199">
        <v>2003</v>
      </c>
      <c r="B50" s="200">
        <v>1775439</v>
      </c>
      <c r="C50" s="200">
        <f t="shared" si="0"/>
        <v>981658</v>
      </c>
      <c r="D50" s="200">
        <v>236372</v>
      </c>
      <c r="E50" s="200">
        <v>615729</v>
      </c>
      <c r="F50" s="200">
        <f t="shared" si="1"/>
        <v>67929</v>
      </c>
      <c r="G50" s="200">
        <v>3880</v>
      </c>
      <c r="H50" s="200">
        <v>64049</v>
      </c>
      <c r="I50" s="200">
        <f t="shared" si="2"/>
        <v>61628</v>
      </c>
      <c r="J50" s="200">
        <v>2738</v>
      </c>
      <c r="K50" s="200">
        <v>58890</v>
      </c>
      <c r="L50" s="23">
        <v>956644</v>
      </c>
      <c r="M50" s="177">
        <f t="shared" si="3"/>
        <v>25014</v>
      </c>
      <c r="N50" s="85">
        <f t="shared" si="4"/>
        <v>2.5481379462093723E-2</v>
      </c>
    </row>
    <row r="51" spans="1:24" ht="12.75" customHeight="1">
      <c r="A51" s="199">
        <v>2004</v>
      </c>
      <c r="B51" s="200">
        <v>1901599</v>
      </c>
      <c r="C51" s="200">
        <f t="shared" si="0"/>
        <v>1044955</v>
      </c>
      <c r="D51" s="200">
        <v>248461</v>
      </c>
      <c r="E51" s="200">
        <v>660495</v>
      </c>
      <c r="F51" s="200">
        <f t="shared" si="1"/>
        <v>70185</v>
      </c>
      <c r="G51" s="200">
        <v>4050</v>
      </c>
      <c r="H51" s="200">
        <v>66135</v>
      </c>
      <c r="I51" s="200">
        <f t="shared" si="2"/>
        <v>65814</v>
      </c>
      <c r="J51" s="200">
        <v>2991</v>
      </c>
      <c r="K51" s="200">
        <v>62823</v>
      </c>
      <c r="L51" s="23">
        <v>1015458</v>
      </c>
      <c r="M51" s="177">
        <f t="shared" si="3"/>
        <v>29497</v>
      </c>
      <c r="N51" s="85">
        <f t="shared" si="4"/>
        <v>2.822800981860463E-2</v>
      </c>
    </row>
    <row r="52" spans="1:24" ht="12.75" customHeight="1">
      <c r="A52" s="199">
        <v>2005</v>
      </c>
      <c r="B52" s="200">
        <v>2030497</v>
      </c>
      <c r="C52" s="200">
        <f t="shared" si="0"/>
        <v>1113236</v>
      </c>
      <c r="D52" s="200">
        <v>262897</v>
      </c>
      <c r="E52" s="200">
        <v>704039</v>
      </c>
      <c r="F52" s="200">
        <f t="shared" si="1"/>
        <v>74545</v>
      </c>
      <c r="G52" s="200">
        <v>4224</v>
      </c>
      <c r="H52" s="200">
        <v>70321</v>
      </c>
      <c r="I52" s="200">
        <f t="shared" si="2"/>
        <v>71755</v>
      </c>
      <c r="J52" s="200">
        <v>3347</v>
      </c>
      <c r="K52" s="200">
        <v>68408</v>
      </c>
      <c r="L52" s="23">
        <v>1082765</v>
      </c>
      <c r="M52" s="177">
        <f t="shared" si="3"/>
        <v>30471</v>
      </c>
      <c r="N52" s="85">
        <f t="shared" si="4"/>
        <v>2.737155463890855E-2</v>
      </c>
    </row>
    <row r="53" spans="1:24" ht="12.75" customHeight="1">
      <c r="A53" s="199">
        <v>2006</v>
      </c>
      <c r="B53" s="200">
        <v>2163293</v>
      </c>
      <c r="C53" s="200">
        <f t="shared" si="0"/>
        <v>1170668</v>
      </c>
      <c r="D53" s="200">
        <v>271639</v>
      </c>
      <c r="E53" s="200">
        <v>741641</v>
      </c>
      <c r="F53" s="200">
        <f t="shared" si="1"/>
        <v>81661</v>
      </c>
      <c r="G53" s="200">
        <v>4327</v>
      </c>
      <c r="H53" s="200">
        <v>77334</v>
      </c>
      <c r="I53" s="200">
        <f t="shared" si="2"/>
        <v>75727</v>
      </c>
      <c r="J53" s="200">
        <v>3556</v>
      </c>
      <c r="K53" s="200">
        <v>72171</v>
      </c>
      <c r="L53" s="23">
        <v>1136830</v>
      </c>
      <c r="M53" s="177">
        <f t="shared" si="3"/>
        <v>33838</v>
      </c>
      <c r="N53" s="85">
        <f t="shared" si="4"/>
        <v>2.8904864573047185E-2</v>
      </c>
    </row>
    <row r="54" spans="1:24" ht="12.75" customHeight="1">
      <c r="A54" s="199">
        <v>2007</v>
      </c>
      <c r="B54" s="200">
        <v>2298269</v>
      </c>
      <c r="C54" s="200">
        <f t="shared" si="0"/>
        <v>1241174</v>
      </c>
      <c r="D54" s="200">
        <v>286056</v>
      </c>
      <c r="E54" s="200">
        <v>778906</v>
      </c>
      <c r="F54" s="200">
        <f t="shared" si="1"/>
        <v>90247</v>
      </c>
      <c r="G54" s="200">
        <v>4465</v>
      </c>
      <c r="H54" s="200">
        <v>85782</v>
      </c>
      <c r="I54" s="200">
        <f t="shared" si="2"/>
        <v>85965</v>
      </c>
      <c r="J54" s="200">
        <v>3782</v>
      </c>
      <c r="K54" s="200">
        <v>82183</v>
      </c>
      <c r="L54" s="23">
        <v>1200978</v>
      </c>
      <c r="M54" s="177">
        <f t="shared" si="3"/>
        <v>40196</v>
      </c>
      <c r="N54" s="85">
        <f t="shared" si="4"/>
        <v>3.2385467307565259E-2</v>
      </c>
    </row>
    <row r="55" spans="1:24" ht="12.75" customHeight="1">
      <c r="A55" s="199">
        <v>2008</v>
      </c>
      <c r="B55" s="200">
        <v>2406644</v>
      </c>
      <c r="C55" s="200">
        <f t="shared" si="0"/>
        <v>1280106</v>
      </c>
      <c r="D55" s="200">
        <v>292999</v>
      </c>
      <c r="E55" s="200">
        <v>809466</v>
      </c>
      <c r="F55" s="200">
        <f t="shared" si="1"/>
        <v>85186</v>
      </c>
      <c r="G55" s="200">
        <v>4471</v>
      </c>
      <c r="H55" s="200">
        <v>80715</v>
      </c>
      <c r="I55" s="200">
        <f t="shared" si="2"/>
        <v>92455</v>
      </c>
      <c r="J55" s="200">
        <v>4005</v>
      </c>
      <c r="K55" s="200">
        <v>88450</v>
      </c>
      <c r="L55" s="23">
        <v>1232030</v>
      </c>
      <c r="M55" s="177">
        <f t="shared" si="3"/>
        <v>48076</v>
      </c>
      <c r="N55" s="85">
        <f t="shared" si="4"/>
        <v>3.7556264871815299E-2</v>
      </c>
    </row>
    <row r="56" spans="1:24" ht="12.75" customHeight="1">
      <c r="A56" s="199">
        <v>2009</v>
      </c>
      <c r="B56" s="200">
        <v>2501171</v>
      </c>
      <c r="C56" s="200">
        <f t="shared" si="0"/>
        <v>1300510</v>
      </c>
      <c r="D56" s="200">
        <v>293329</v>
      </c>
      <c r="E56" s="200">
        <v>834993</v>
      </c>
      <c r="F56" s="200">
        <f t="shared" si="1"/>
        <v>90037</v>
      </c>
      <c r="G56" s="200">
        <v>4492</v>
      </c>
      <c r="H56" s="200">
        <v>85545</v>
      </c>
      <c r="I56" s="200">
        <f t="shared" si="2"/>
        <v>82151</v>
      </c>
      <c r="J56" s="200">
        <v>4117</v>
      </c>
      <c r="K56" s="200">
        <v>78034</v>
      </c>
      <c r="L56" s="23">
        <v>1269852</v>
      </c>
      <c r="M56" s="177">
        <f t="shared" si="3"/>
        <v>30658</v>
      </c>
      <c r="N56" s="85">
        <f t="shared" si="4"/>
        <v>2.3573828728729498E-2</v>
      </c>
    </row>
    <row r="57" spans="1:24" ht="12.75" customHeight="1">
      <c r="A57" s="199">
        <v>2010</v>
      </c>
      <c r="B57" s="200">
        <v>2599951</v>
      </c>
      <c r="C57" s="200">
        <f t="shared" si="0"/>
        <v>1341614</v>
      </c>
      <c r="D57" s="200">
        <v>299410</v>
      </c>
      <c r="E57" s="200">
        <v>863702</v>
      </c>
      <c r="F57" s="200">
        <f t="shared" si="1"/>
        <v>96869</v>
      </c>
      <c r="G57" s="200">
        <v>4617</v>
      </c>
      <c r="H57" s="200">
        <v>92252</v>
      </c>
      <c r="I57" s="200">
        <f t="shared" si="2"/>
        <v>81633</v>
      </c>
      <c r="J57" s="200">
        <v>4166</v>
      </c>
      <c r="K57" s="200">
        <v>77467</v>
      </c>
      <c r="L57" s="23">
        <v>1315837</v>
      </c>
      <c r="M57" s="177">
        <f t="shared" si="3"/>
        <v>25777</v>
      </c>
      <c r="N57" s="85">
        <f t="shared" si="4"/>
        <v>1.9213425023889136E-2</v>
      </c>
    </row>
    <row r="58" spans="1:24" ht="12.75" customHeight="1">
      <c r="A58" s="199">
        <v>2011</v>
      </c>
      <c r="B58" s="200">
        <v>2700739</v>
      </c>
      <c r="C58" s="200">
        <f t="shared" si="0"/>
        <v>1388266</v>
      </c>
      <c r="D58" s="200">
        <v>307680</v>
      </c>
      <c r="E58" s="200">
        <v>896348</v>
      </c>
      <c r="F58" s="200">
        <f t="shared" si="1"/>
        <v>101362</v>
      </c>
      <c r="G58" s="200">
        <v>4775</v>
      </c>
      <c r="H58" s="200">
        <v>96587</v>
      </c>
      <c r="I58" s="200">
        <f t="shared" si="2"/>
        <v>82876</v>
      </c>
      <c r="J58" s="200">
        <v>4336</v>
      </c>
      <c r="K58" s="200">
        <v>78540</v>
      </c>
      <c r="L58" s="23">
        <v>1352096</v>
      </c>
      <c r="M58" s="177">
        <f t="shared" si="3"/>
        <v>36170</v>
      </c>
      <c r="N58" s="85">
        <f t="shared" si="4"/>
        <v>2.6054084735922366E-2</v>
      </c>
    </row>
    <row r="59" spans="1:24" ht="18" customHeight="1">
      <c r="A59" s="201" t="s">
        <v>23</v>
      </c>
      <c r="B59" s="202"/>
      <c r="C59" s="202"/>
      <c r="D59" s="202"/>
      <c r="E59" s="202"/>
      <c r="F59" s="202"/>
      <c r="G59" s="202"/>
      <c r="H59" s="202"/>
      <c r="I59" s="202"/>
      <c r="J59" s="203"/>
      <c r="K59" s="203"/>
      <c r="L59" s="160" t="s">
        <v>24</v>
      </c>
      <c r="M59" s="160" t="s">
        <v>25</v>
      </c>
      <c r="N59" s="173" t="s">
        <v>26</v>
      </c>
    </row>
    <row r="60" spans="1:24" ht="15.75" customHeight="1">
      <c r="A60" s="204" t="s">
        <v>36</v>
      </c>
      <c r="B60" s="163">
        <v>41506</v>
      </c>
      <c r="C60" s="163"/>
      <c r="D60" s="163"/>
      <c r="E60" s="163"/>
    </row>
    <row r="61" spans="1:24" s="206" customFormat="1" ht="18" customHeight="1">
      <c r="A61" s="175" t="s">
        <v>37</v>
      </c>
      <c r="B61" s="205" t="s">
        <v>361</v>
      </c>
      <c r="C61" s="205"/>
      <c r="D61" s="205"/>
      <c r="E61" s="205"/>
      <c r="F61" s="205"/>
      <c r="G61" s="205"/>
      <c r="H61" s="205"/>
      <c r="I61" s="205"/>
      <c r="J61" s="205"/>
      <c r="K61" s="205"/>
      <c r="L61" s="205"/>
      <c r="M61" s="205"/>
      <c r="N61" s="205"/>
    </row>
    <row r="62" spans="1:24" s="38" customFormat="1" ht="19.5" customHeight="1">
      <c r="A62" s="43" t="s">
        <v>307</v>
      </c>
      <c r="B62" s="43"/>
      <c r="C62" s="43"/>
      <c r="D62" s="43"/>
      <c r="E62" s="43"/>
      <c r="F62" s="164"/>
      <c r="G62" s="37"/>
      <c r="H62" s="37"/>
      <c r="I62" s="37"/>
      <c r="J62" s="37"/>
      <c r="K62" s="37"/>
      <c r="L62" s="37"/>
      <c r="M62" s="37"/>
      <c r="N62" s="37"/>
      <c r="S62" s="153"/>
    </row>
    <row r="63" spans="1:24" s="38" customFormat="1" ht="18" customHeight="1">
      <c r="A63" s="165" t="str">
        <f>L59</f>
        <v>[A]</v>
      </c>
      <c r="B63" s="40" t="s">
        <v>362</v>
      </c>
      <c r="C63" s="40"/>
      <c r="D63" s="40"/>
      <c r="E63" s="40"/>
      <c r="F63" s="40"/>
      <c r="G63" s="40"/>
      <c r="H63" s="40"/>
      <c r="I63" s="40"/>
      <c r="J63" s="40"/>
      <c r="K63" s="40"/>
      <c r="L63" s="40"/>
      <c r="M63" s="40"/>
      <c r="N63" s="40"/>
      <c r="X63" s="113"/>
    </row>
    <row r="64" spans="1:24" s="38" customFormat="1" ht="18" customHeight="1">
      <c r="A64" s="165" t="str">
        <f>M59</f>
        <v>[B]</v>
      </c>
      <c r="B64" s="40" t="s">
        <v>363</v>
      </c>
      <c r="C64" s="40"/>
      <c r="D64" s="40"/>
      <c r="E64" s="40"/>
      <c r="F64" s="40"/>
      <c r="G64" s="40"/>
      <c r="H64" s="40"/>
      <c r="I64" s="40"/>
      <c r="J64" s="40"/>
      <c r="K64" s="40"/>
      <c r="L64" s="40"/>
      <c r="M64" s="40"/>
      <c r="N64" s="40"/>
      <c r="X64" s="113"/>
    </row>
    <row r="65" spans="1:24" s="38" customFormat="1" ht="18" customHeight="1">
      <c r="A65" s="165" t="str">
        <f>N59</f>
        <v>[C]</v>
      </c>
      <c r="B65" s="40" t="s">
        <v>364</v>
      </c>
      <c r="C65" s="40"/>
      <c r="D65" s="40"/>
      <c r="E65" s="40"/>
      <c r="F65" s="40"/>
      <c r="G65" s="40"/>
      <c r="H65" s="40"/>
      <c r="I65" s="40"/>
      <c r="J65" s="40"/>
      <c r="K65" s="40"/>
      <c r="L65" s="40"/>
      <c r="M65" s="40"/>
      <c r="N65" s="40"/>
      <c r="X65" s="113"/>
    </row>
    <row r="66" spans="1:24" s="206" customFormat="1" ht="19.5" customHeight="1">
      <c r="A66" s="207" t="s">
        <v>311</v>
      </c>
      <c r="B66" s="207"/>
      <c r="C66" s="207"/>
      <c r="D66" s="207"/>
      <c r="E66" s="207"/>
      <c r="F66" s="208"/>
      <c r="G66" s="208"/>
      <c r="H66" s="208"/>
      <c r="I66" s="208"/>
      <c r="J66" s="208"/>
      <c r="K66" s="208"/>
      <c r="L66" s="208"/>
      <c r="M66" s="208"/>
      <c r="N66" s="208"/>
    </row>
    <row r="67" spans="1:24" s="180" customFormat="1" ht="36" customHeight="1">
      <c r="A67" s="178" t="s">
        <v>111</v>
      </c>
      <c r="B67" s="88" t="s">
        <v>130</v>
      </c>
      <c r="C67" s="88"/>
      <c r="D67" s="88"/>
      <c r="E67" s="88"/>
      <c r="F67" s="88"/>
      <c r="G67" s="88"/>
      <c r="H67" s="88"/>
      <c r="I67" s="88"/>
      <c r="J67" s="88"/>
      <c r="K67" s="88"/>
      <c r="L67" s="88"/>
      <c r="M67" s="88"/>
      <c r="N67" s="88"/>
    </row>
    <row r="68" spans="1:24" s="180" customFormat="1" ht="36" customHeight="1">
      <c r="A68" s="178" t="s">
        <v>113</v>
      </c>
      <c r="B68" s="181" t="s">
        <v>365</v>
      </c>
      <c r="C68" s="181"/>
      <c r="D68" s="181"/>
      <c r="E68" s="181"/>
      <c r="F68" s="181"/>
      <c r="G68" s="181"/>
      <c r="H68" s="181"/>
      <c r="I68" s="181"/>
      <c r="J68" s="181"/>
      <c r="K68" s="181"/>
      <c r="L68" s="181"/>
      <c r="M68" s="181"/>
      <c r="N68" s="181"/>
    </row>
    <row r="69" spans="1:24" s="210" customFormat="1" ht="18" customHeight="1">
      <c r="A69" s="209" t="s">
        <v>313</v>
      </c>
      <c r="B69" s="209"/>
      <c r="C69" s="209"/>
      <c r="D69" s="209"/>
      <c r="E69" s="209"/>
    </row>
    <row r="70" spans="1:24" s="180" customFormat="1" ht="36" customHeight="1"/>
    <row r="71" spans="1:24" s="210" customFormat="1">
      <c r="A71" s="183"/>
    </row>
    <row r="72" spans="1:24" s="210" customFormat="1">
      <c r="A72" s="211"/>
    </row>
    <row r="73" spans="1:24" s="210" customFormat="1">
      <c r="A73" s="211"/>
    </row>
    <row r="74" spans="1:24" s="210" customFormat="1">
      <c r="A74" s="211"/>
    </row>
    <row r="75" spans="1:24" s="210" customFormat="1">
      <c r="A75" s="211"/>
    </row>
    <row r="76" spans="1:24" s="210" customFormat="1">
      <c r="A76" s="211"/>
    </row>
    <row r="77" spans="1:24" s="210" customFormat="1">
      <c r="A77" s="211"/>
    </row>
    <row r="78" spans="1:24" s="210" customFormat="1">
      <c r="A78" s="211"/>
    </row>
    <row r="79" spans="1:24" s="210" customFormat="1">
      <c r="A79" s="211"/>
    </row>
    <row r="80" spans="1:24" s="210" customFormat="1">
      <c r="A80" s="211"/>
    </row>
    <row r="81" spans="1:1" s="210" customFormat="1">
      <c r="A81" s="211"/>
    </row>
    <row r="82" spans="1:1" s="210" customFormat="1">
      <c r="A82" s="211"/>
    </row>
    <row r="83" spans="1:1" s="210" customFormat="1">
      <c r="A83" s="211"/>
    </row>
    <row r="84" spans="1:1" s="210" customFormat="1">
      <c r="A84" s="211"/>
    </row>
    <row r="85" spans="1:1" s="210" customFormat="1">
      <c r="A85" s="211"/>
    </row>
    <row r="86" spans="1:1" s="210" customFormat="1">
      <c r="A86" s="211"/>
    </row>
  </sheetData>
  <mergeCells count="29">
    <mergeCell ref="A66:E66"/>
    <mergeCell ref="B67:N67"/>
    <mergeCell ref="B68:N68"/>
    <mergeCell ref="A69:E69"/>
    <mergeCell ref="B60:E60"/>
    <mergeCell ref="B61:N61"/>
    <mergeCell ref="A62:E62"/>
    <mergeCell ref="B63:N63"/>
    <mergeCell ref="B64:N64"/>
    <mergeCell ref="B65:N65"/>
    <mergeCell ref="M3:N4"/>
    <mergeCell ref="F5:F6"/>
    <mergeCell ref="G5:G6"/>
    <mergeCell ref="H5:H6"/>
    <mergeCell ref="I5:I6"/>
    <mergeCell ref="J5:J6"/>
    <mergeCell ref="K5:K6"/>
    <mergeCell ref="M5:M6"/>
    <mergeCell ref="N5:N6"/>
    <mergeCell ref="A1:N1"/>
    <mergeCell ref="A2:N2"/>
    <mergeCell ref="A3:A6"/>
    <mergeCell ref="B3:B6"/>
    <mergeCell ref="C3:C6"/>
    <mergeCell ref="D3:D6"/>
    <mergeCell ref="E3:E6"/>
    <mergeCell ref="F3:H4"/>
    <mergeCell ref="I3:K4"/>
    <mergeCell ref="L3:L6"/>
  </mergeCells>
  <printOptions horizontalCentered="1"/>
  <pageMargins left="0.7" right="0.7" top="0.75" bottom="0.75" header="0.3" footer="0.3"/>
  <pageSetup scale="93" fitToHeight="2" orientation="landscape" horizontalDpi="300" r:id="rId1"/>
  <rowBreaks count="1" manualBreakCount="1">
    <brk id="26" max="1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88"/>
  <sheetViews>
    <sheetView view="pageBreakPreview" zoomScaleNormal="100" zoomScaleSheetLayoutView="100" workbookViewId="0">
      <pane xSplit="2" ySplit="6" topLeftCell="C68" activePane="bottomRight" state="frozen"/>
      <selection activeCell="L9" sqref="L9"/>
      <selection pane="topRight" activeCell="L9" sqref="L9"/>
      <selection pane="bottomLeft" activeCell="L9" sqref="L9"/>
      <selection pane="bottomRight" activeCell="L9" sqref="L9"/>
    </sheetView>
  </sheetViews>
  <sheetFormatPr defaultRowHeight="15"/>
  <cols>
    <col min="1" max="1" width="6.7109375" style="212" customWidth="1"/>
    <col min="2" max="2" width="9.7109375" style="183" customWidth="1"/>
    <col min="3" max="8" width="7.7109375" style="183" customWidth="1"/>
    <col min="9" max="16384" width="9.140625" style="183"/>
  </cols>
  <sheetData>
    <row r="1" spans="1:17" ht="18" customHeight="1">
      <c r="A1" s="182" t="s">
        <v>366</v>
      </c>
      <c r="B1" s="182"/>
      <c r="C1" s="182"/>
      <c r="D1" s="182"/>
      <c r="E1" s="182"/>
      <c r="F1" s="182"/>
      <c r="G1" s="182"/>
      <c r="H1" s="182"/>
      <c r="I1" s="182"/>
      <c r="J1" s="182"/>
      <c r="K1" s="182"/>
      <c r="L1" s="182"/>
      <c r="M1" s="182"/>
      <c r="N1" s="182"/>
      <c r="O1" s="182"/>
      <c r="P1" s="182"/>
      <c r="Q1" s="182"/>
    </row>
    <row r="2" spans="1:17" ht="15" customHeight="1" thickBot="1">
      <c r="A2" s="184" t="s">
        <v>267</v>
      </c>
      <c r="B2" s="184"/>
      <c r="C2" s="184"/>
      <c r="D2" s="184"/>
      <c r="E2" s="184"/>
      <c r="F2" s="184"/>
      <c r="G2" s="184"/>
      <c r="H2" s="184"/>
      <c r="I2" s="184"/>
      <c r="J2" s="184"/>
      <c r="K2" s="184"/>
      <c r="L2" s="184"/>
      <c r="M2" s="184"/>
      <c r="N2" s="184"/>
      <c r="O2" s="184"/>
      <c r="P2" s="184"/>
      <c r="Q2" s="184"/>
    </row>
    <row r="3" spans="1:17" ht="15.75" customHeight="1" thickTop="1">
      <c r="A3" s="185" t="s">
        <v>268</v>
      </c>
      <c r="B3" s="186" t="s">
        <v>367</v>
      </c>
      <c r="C3" s="186" t="s">
        <v>270</v>
      </c>
      <c r="D3" s="187" t="s">
        <v>271</v>
      </c>
      <c r="E3" s="188"/>
      <c r="F3" s="188"/>
      <c r="G3" s="188"/>
      <c r="H3" s="188"/>
      <c r="I3" s="186" t="s">
        <v>368</v>
      </c>
      <c r="J3" s="186" t="s">
        <v>316</v>
      </c>
      <c r="K3" s="187" t="s">
        <v>274</v>
      </c>
      <c r="L3" s="188"/>
      <c r="M3" s="188"/>
      <c r="N3" s="185"/>
      <c r="O3" s="4" t="s">
        <v>369</v>
      </c>
      <c r="P3" s="3" t="s">
        <v>318</v>
      </c>
      <c r="Q3" s="2"/>
    </row>
    <row r="4" spans="1:17" ht="12.75" customHeight="1">
      <c r="A4" s="189"/>
      <c r="B4" s="190"/>
      <c r="C4" s="191"/>
      <c r="D4" s="192"/>
      <c r="E4" s="193"/>
      <c r="F4" s="193"/>
      <c r="G4" s="193"/>
      <c r="H4" s="193"/>
      <c r="I4" s="191"/>
      <c r="J4" s="191"/>
      <c r="K4" s="192"/>
      <c r="L4" s="193"/>
      <c r="M4" s="193"/>
      <c r="N4" s="194"/>
      <c r="O4" s="13"/>
      <c r="P4" s="9"/>
      <c r="Q4" s="95"/>
    </row>
    <row r="5" spans="1:17" ht="15.75" customHeight="1">
      <c r="A5" s="189"/>
      <c r="B5" s="190"/>
      <c r="C5" s="191"/>
      <c r="D5" s="191" t="s">
        <v>148</v>
      </c>
      <c r="E5" s="191" t="s">
        <v>277</v>
      </c>
      <c r="F5" s="191" t="s">
        <v>278</v>
      </c>
      <c r="G5" s="195" t="s">
        <v>279</v>
      </c>
      <c r="H5" s="195" t="s">
        <v>370</v>
      </c>
      <c r="I5" s="191"/>
      <c r="J5" s="191"/>
      <c r="K5" s="195" t="s">
        <v>148</v>
      </c>
      <c r="L5" s="195" t="s">
        <v>360</v>
      </c>
      <c r="M5" s="195" t="s">
        <v>298</v>
      </c>
      <c r="N5" s="195" t="s">
        <v>299</v>
      </c>
      <c r="O5" s="13"/>
      <c r="P5" s="14" t="s">
        <v>324</v>
      </c>
      <c r="Q5" s="15" t="s">
        <v>325</v>
      </c>
    </row>
    <row r="6" spans="1:17" ht="41.25" customHeight="1">
      <c r="A6" s="194"/>
      <c r="B6" s="197"/>
      <c r="C6" s="198"/>
      <c r="D6" s="198"/>
      <c r="E6" s="198"/>
      <c r="F6" s="198"/>
      <c r="G6" s="198"/>
      <c r="H6" s="198"/>
      <c r="I6" s="198"/>
      <c r="J6" s="198"/>
      <c r="K6" s="198"/>
      <c r="L6" s="198"/>
      <c r="M6" s="198"/>
      <c r="N6" s="198"/>
      <c r="O6" s="10"/>
      <c r="P6" s="18"/>
      <c r="Q6" s="9"/>
    </row>
    <row r="7" spans="1:17" ht="12.75" customHeight="1">
      <c r="A7" s="199">
        <v>1970</v>
      </c>
      <c r="B7" s="213">
        <v>74.852999999999994</v>
      </c>
      <c r="C7" s="213">
        <v>25.015000000000001</v>
      </c>
      <c r="D7" s="213">
        <v>31.687999999999999</v>
      </c>
      <c r="E7" s="213">
        <v>15.423999999999999</v>
      </c>
      <c r="F7" s="213">
        <v>7.6719999999999997</v>
      </c>
      <c r="G7" s="213">
        <v>5.29</v>
      </c>
      <c r="H7" s="213">
        <v>3.302</v>
      </c>
      <c r="I7" s="213">
        <v>18.151</v>
      </c>
      <c r="J7" s="213">
        <v>1.3560000000000001</v>
      </c>
      <c r="K7" s="213">
        <f>SUM(L7:N7)</f>
        <v>7.782</v>
      </c>
      <c r="L7" s="213">
        <v>1.9530000000000001</v>
      </c>
      <c r="M7" s="213">
        <v>4.5229999999999997</v>
      </c>
      <c r="N7" s="213">
        <v>1.306</v>
      </c>
      <c r="O7" s="61">
        <v>74.852999999999994</v>
      </c>
      <c r="P7" s="214">
        <f>O7-B7</f>
        <v>0</v>
      </c>
      <c r="Q7" s="85">
        <f>P7/B7</f>
        <v>0</v>
      </c>
    </row>
    <row r="8" spans="1:17" ht="12.75" customHeight="1">
      <c r="A8" s="199">
        <v>1971</v>
      </c>
      <c r="B8" s="213">
        <v>83.24</v>
      </c>
      <c r="C8" s="213">
        <v>26.38</v>
      </c>
      <c r="D8" s="213">
        <v>36.643999999999998</v>
      </c>
      <c r="E8" s="213">
        <v>17.757000000000001</v>
      </c>
      <c r="F8" s="213">
        <v>8.4429999999999996</v>
      </c>
      <c r="G8" s="213">
        <v>6.6950000000000003</v>
      </c>
      <c r="H8" s="213">
        <v>3.7490000000000001</v>
      </c>
      <c r="I8" s="213">
        <v>20.216000000000001</v>
      </c>
      <c r="J8" s="213">
        <v>1.6759999999999999</v>
      </c>
      <c r="K8" s="213">
        <f t="shared" ref="K8:K58" si="0">SUM(L8:N8)</f>
        <v>8.875</v>
      </c>
      <c r="L8" s="213">
        <v>2.109</v>
      </c>
      <c r="M8" s="213">
        <v>5.1929999999999996</v>
      </c>
      <c r="N8" s="213">
        <v>1.573</v>
      </c>
      <c r="O8" s="61">
        <v>83.24</v>
      </c>
      <c r="P8" s="214">
        <f t="shared" ref="P8:P48" si="1">O8-B8</f>
        <v>0</v>
      </c>
      <c r="Q8" s="85">
        <f t="shared" ref="Q8:Q48" si="2">P8/B8</f>
        <v>0</v>
      </c>
    </row>
    <row r="9" spans="1:17" ht="12.75" customHeight="1">
      <c r="A9" s="199">
        <v>1972</v>
      </c>
      <c r="B9" s="213">
        <v>93.141000000000005</v>
      </c>
      <c r="C9" s="213">
        <v>28.724</v>
      </c>
      <c r="D9" s="213">
        <v>42.518999999999998</v>
      </c>
      <c r="E9" s="213">
        <v>20.593</v>
      </c>
      <c r="F9" s="213">
        <v>9.3249999999999993</v>
      </c>
      <c r="G9" s="213">
        <v>8.3140000000000001</v>
      </c>
      <c r="H9" s="213">
        <v>4.2880000000000003</v>
      </c>
      <c r="I9" s="213">
        <v>21.896999999999998</v>
      </c>
      <c r="J9" s="213">
        <v>1.855</v>
      </c>
      <c r="K9" s="213">
        <f t="shared" si="0"/>
        <v>9.7649999999999988</v>
      </c>
      <c r="L9" s="213">
        <v>2.3570000000000002</v>
      </c>
      <c r="M9" s="213">
        <v>5.6859999999999999</v>
      </c>
      <c r="N9" s="213">
        <v>1.722</v>
      </c>
      <c r="O9" s="61">
        <v>93.141000000000005</v>
      </c>
      <c r="P9" s="214">
        <f t="shared" si="1"/>
        <v>0</v>
      </c>
      <c r="Q9" s="85">
        <f t="shared" si="2"/>
        <v>0</v>
      </c>
    </row>
    <row r="10" spans="1:17" ht="12.75" customHeight="1">
      <c r="A10" s="199">
        <v>1973</v>
      </c>
      <c r="B10" s="213">
        <v>103.36499999999999</v>
      </c>
      <c r="C10" s="213">
        <v>31.716000000000001</v>
      </c>
      <c r="D10" s="213">
        <v>47.917999999999999</v>
      </c>
      <c r="E10" s="213">
        <v>22.884</v>
      </c>
      <c r="F10" s="213">
        <v>10.73</v>
      </c>
      <c r="G10" s="213">
        <v>9.423</v>
      </c>
      <c r="H10" s="213">
        <v>4.88</v>
      </c>
      <c r="I10" s="213">
        <v>23.731999999999999</v>
      </c>
      <c r="J10" s="213">
        <v>2.1230000000000002</v>
      </c>
      <c r="K10" s="213">
        <f t="shared" si="0"/>
        <v>10.244</v>
      </c>
      <c r="L10" s="213">
        <v>2.5019999999999998</v>
      </c>
      <c r="M10" s="213">
        <v>5.649</v>
      </c>
      <c r="N10" s="213">
        <v>2.093</v>
      </c>
      <c r="O10" s="61">
        <v>103.36499999999999</v>
      </c>
      <c r="P10" s="214">
        <f t="shared" si="1"/>
        <v>0</v>
      </c>
      <c r="Q10" s="85">
        <f t="shared" si="2"/>
        <v>0</v>
      </c>
    </row>
    <row r="11" spans="1:17" ht="12.75" customHeight="1">
      <c r="A11" s="199">
        <v>1974</v>
      </c>
      <c r="B11" s="213">
        <v>117.157</v>
      </c>
      <c r="C11" s="213">
        <v>34.466999999999999</v>
      </c>
      <c r="D11" s="213">
        <v>55.847999999999999</v>
      </c>
      <c r="E11" s="213">
        <v>25.972000000000001</v>
      </c>
      <c r="F11" s="213">
        <v>13.428000000000001</v>
      </c>
      <c r="G11" s="213">
        <v>11.073</v>
      </c>
      <c r="H11" s="213">
        <v>5.375</v>
      </c>
      <c r="I11" s="213">
        <v>26.841999999999999</v>
      </c>
      <c r="J11" s="213">
        <v>2.5840000000000001</v>
      </c>
      <c r="K11" s="213">
        <f t="shared" si="0"/>
        <v>11.233000000000001</v>
      </c>
      <c r="L11" s="213">
        <v>2.7669999999999999</v>
      </c>
      <c r="M11" s="213">
        <v>5.9770000000000003</v>
      </c>
      <c r="N11" s="213">
        <v>2.4889999999999999</v>
      </c>
      <c r="O11" s="61">
        <v>117.157</v>
      </c>
      <c r="P11" s="214">
        <f t="shared" si="1"/>
        <v>0</v>
      </c>
      <c r="Q11" s="85">
        <f t="shared" si="2"/>
        <v>0</v>
      </c>
    </row>
    <row r="12" spans="1:17" ht="12.75" customHeight="1">
      <c r="A12" s="199">
        <v>1975</v>
      </c>
      <c r="B12" s="213">
        <v>133.58500000000001</v>
      </c>
      <c r="C12" s="213">
        <v>37.372</v>
      </c>
      <c r="D12" s="213">
        <v>66.212999999999994</v>
      </c>
      <c r="E12" s="213">
        <v>30.460999999999999</v>
      </c>
      <c r="F12" s="213">
        <v>16.335999999999999</v>
      </c>
      <c r="G12" s="213">
        <v>13.446</v>
      </c>
      <c r="H12" s="213">
        <v>5.97</v>
      </c>
      <c r="I12" s="213">
        <v>30</v>
      </c>
      <c r="J12" s="213">
        <v>2.9670000000000001</v>
      </c>
      <c r="K12" s="213">
        <f t="shared" si="0"/>
        <v>12.425000000000001</v>
      </c>
      <c r="L12" s="213">
        <v>3.3719999999999999</v>
      </c>
      <c r="M12" s="213">
        <v>6.5149999999999997</v>
      </c>
      <c r="N12" s="213">
        <v>2.5379999999999998</v>
      </c>
      <c r="O12" s="61">
        <v>133.58500000000001</v>
      </c>
      <c r="P12" s="214">
        <f t="shared" si="1"/>
        <v>0</v>
      </c>
      <c r="Q12" s="85">
        <f t="shared" si="2"/>
        <v>0</v>
      </c>
    </row>
    <row r="13" spans="1:17" ht="12.75" customHeight="1">
      <c r="A13" s="199">
        <v>1976</v>
      </c>
      <c r="B13" s="213">
        <v>153.011</v>
      </c>
      <c r="C13" s="213">
        <v>40.767000000000003</v>
      </c>
      <c r="D13" s="213">
        <v>78.938000000000002</v>
      </c>
      <c r="E13" s="213">
        <v>37.295000000000002</v>
      </c>
      <c r="F13" s="213">
        <v>19.693999999999999</v>
      </c>
      <c r="G13" s="213">
        <v>15.188000000000001</v>
      </c>
      <c r="H13" s="213">
        <v>6.7610000000000001</v>
      </c>
      <c r="I13" s="213">
        <v>33.305999999999997</v>
      </c>
      <c r="J13" s="213">
        <v>3.2130000000000001</v>
      </c>
      <c r="K13" s="213">
        <f t="shared" si="0"/>
        <v>13.651999999999999</v>
      </c>
      <c r="L13" s="213">
        <v>3.7069999999999999</v>
      </c>
      <c r="M13" s="213">
        <v>7.0709999999999997</v>
      </c>
      <c r="N13" s="213">
        <v>2.8740000000000001</v>
      </c>
      <c r="O13" s="61">
        <v>153.011</v>
      </c>
      <c r="P13" s="214">
        <f t="shared" si="1"/>
        <v>0</v>
      </c>
      <c r="Q13" s="85">
        <f t="shared" si="2"/>
        <v>0</v>
      </c>
    </row>
    <row r="14" spans="1:17" ht="12.75" customHeight="1">
      <c r="A14" s="199">
        <v>1977</v>
      </c>
      <c r="B14" s="213">
        <v>173.97900000000001</v>
      </c>
      <c r="C14" s="213">
        <v>44.997</v>
      </c>
      <c r="D14" s="213">
        <v>92.96</v>
      </c>
      <c r="E14" s="213">
        <v>45.537999999999997</v>
      </c>
      <c r="F14" s="213">
        <v>22.890999999999998</v>
      </c>
      <c r="G14" s="213">
        <v>17.463999999999999</v>
      </c>
      <c r="H14" s="213">
        <v>7.0679999999999996</v>
      </c>
      <c r="I14" s="213">
        <v>36.021999999999998</v>
      </c>
      <c r="J14" s="213">
        <v>3.8149999999999999</v>
      </c>
      <c r="K14" s="213">
        <f t="shared" si="0"/>
        <v>13.968999999999999</v>
      </c>
      <c r="L14" s="213">
        <v>3.8639999999999999</v>
      </c>
      <c r="M14" s="213">
        <v>6.867</v>
      </c>
      <c r="N14" s="213">
        <v>3.238</v>
      </c>
      <c r="O14" s="61">
        <v>173.97900000000001</v>
      </c>
      <c r="P14" s="214">
        <f t="shared" si="1"/>
        <v>0</v>
      </c>
      <c r="Q14" s="85">
        <f t="shared" si="2"/>
        <v>0</v>
      </c>
    </row>
    <row r="15" spans="1:17" ht="12.75" customHeight="1">
      <c r="A15" s="199">
        <v>1978</v>
      </c>
      <c r="B15" s="213">
        <v>195.53200000000001</v>
      </c>
      <c r="C15" s="213">
        <v>48.171999999999997</v>
      </c>
      <c r="D15" s="213">
        <v>106.411</v>
      </c>
      <c r="E15" s="213">
        <v>52.350999999999999</v>
      </c>
      <c r="F15" s="213">
        <v>26.667999999999999</v>
      </c>
      <c r="G15" s="213">
        <v>19.465</v>
      </c>
      <c r="H15" s="213">
        <v>7.9269999999999996</v>
      </c>
      <c r="I15" s="213">
        <v>40.948999999999998</v>
      </c>
      <c r="J15" s="213">
        <v>4.5880000000000001</v>
      </c>
      <c r="K15" s="213">
        <f t="shared" si="0"/>
        <v>15.411999999999999</v>
      </c>
      <c r="L15" s="213">
        <v>4.4379999999999997</v>
      </c>
      <c r="M15" s="213">
        <v>6.97</v>
      </c>
      <c r="N15" s="213">
        <v>4.0039999999999996</v>
      </c>
      <c r="O15" s="61">
        <v>195.52799999999999</v>
      </c>
      <c r="P15" s="214">
        <f t="shared" si="1"/>
        <v>-4.0000000000190994E-3</v>
      </c>
      <c r="Q15" s="85">
        <f t="shared" si="2"/>
        <v>-2.0457009594435178E-5</v>
      </c>
    </row>
    <row r="16" spans="1:17" ht="12.75" customHeight="1">
      <c r="A16" s="199">
        <v>1979</v>
      </c>
      <c r="B16" s="213">
        <v>221.66</v>
      </c>
      <c r="C16" s="213">
        <v>52.478000000000002</v>
      </c>
      <c r="D16" s="213">
        <v>122.55800000000001</v>
      </c>
      <c r="E16" s="213">
        <v>60.774000000000001</v>
      </c>
      <c r="F16" s="213">
        <v>30.922000000000001</v>
      </c>
      <c r="G16" s="213">
        <v>22.332000000000001</v>
      </c>
      <c r="H16" s="213">
        <v>8.5310000000000006</v>
      </c>
      <c r="I16" s="213">
        <v>46.622999999999998</v>
      </c>
      <c r="J16" s="213">
        <v>5.375</v>
      </c>
      <c r="K16" s="213">
        <f t="shared" si="0"/>
        <v>17.009</v>
      </c>
      <c r="L16" s="213">
        <v>4.8049999999999997</v>
      </c>
      <c r="M16" s="213">
        <v>7.4320000000000004</v>
      </c>
      <c r="N16" s="213">
        <v>4.7720000000000002</v>
      </c>
      <c r="O16" s="61">
        <v>221.65799999999999</v>
      </c>
      <c r="P16" s="214">
        <f t="shared" si="1"/>
        <v>-2.0000000000095497E-3</v>
      </c>
      <c r="Q16" s="85">
        <f t="shared" si="2"/>
        <v>-9.0228277542612554E-6</v>
      </c>
    </row>
    <row r="17" spans="1:17" ht="18" customHeight="1">
      <c r="A17" s="199">
        <v>1980</v>
      </c>
      <c r="B17" s="213">
        <v>255.78299999999999</v>
      </c>
      <c r="C17" s="213">
        <v>58.439</v>
      </c>
      <c r="D17" s="213">
        <v>142.20699999999999</v>
      </c>
      <c r="E17" s="213">
        <v>69.097999999999999</v>
      </c>
      <c r="F17" s="213">
        <v>37.387</v>
      </c>
      <c r="G17" s="213">
        <v>26.032</v>
      </c>
      <c r="H17" s="213">
        <v>9.6890000000000001</v>
      </c>
      <c r="I17" s="213">
        <v>55.137</v>
      </c>
      <c r="J17" s="213">
        <v>6.4450000000000003</v>
      </c>
      <c r="K17" s="213">
        <f t="shared" si="0"/>
        <v>20.103000000000002</v>
      </c>
      <c r="L17" s="213">
        <v>5.4290000000000003</v>
      </c>
      <c r="M17" s="213">
        <v>8.5850000000000009</v>
      </c>
      <c r="N17" s="213">
        <v>6.0890000000000004</v>
      </c>
      <c r="O17" s="61">
        <v>255.78399999999999</v>
      </c>
      <c r="P17" s="214">
        <f t="shared" si="1"/>
        <v>1.0000000000047748E-3</v>
      </c>
      <c r="Q17" s="85">
        <f t="shared" si="2"/>
        <v>3.9095639663495025E-6</v>
      </c>
    </row>
    <row r="18" spans="1:17" ht="12.75" customHeight="1">
      <c r="A18" s="199">
        <v>1981</v>
      </c>
      <c r="B18" s="213">
        <v>296.75299999999999</v>
      </c>
      <c r="C18" s="213">
        <v>65.674999999999997</v>
      </c>
      <c r="D18" s="213">
        <v>167.59800000000001</v>
      </c>
      <c r="E18" s="213">
        <v>81.671999999999997</v>
      </c>
      <c r="F18" s="213">
        <v>44.768999999999998</v>
      </c>
      <c r="G18" s="213">
        <v>30.306999999999999</v>
      </c>
      <c r="H18" s="213">
        <v>10.849</v>
      </c>
      <c r="I18" s="213">
        <v>63.48</v>
      </c>
      <c r="J18" s="213">
        <v>7.5309999999999997</v>
      </c>
      <c r="K18" s="213">
        <f t="shared" si="0"/>
        <v>23.088000000000001</v>
      </c>
      <c r="L18" s="213">
        <v>5.7050000000000001</v>
      </c>
      <c r="M18" s="213">
        <v>9.9960000000000004</v>
      </c>
      <c r="N18" s="213">
        <v>7.3869999999999996</v>
      </c>
      <c r="O18" s="61">
        <v>296.73899999999998</v>
      </c>
      <c r="P18" s="214">
        <f t="shared" si="1"/>
        <v>-1.4000000000010004E-2</v>
      </c>
      <c r="Q18" s="85">
        <f t="shared" si="2"/>
        <v>-4.717728211681097E-5</v>
      </c>
    </row>
    <row r="19" spans="1:17" ht="12.75" customHeight="1">
      <c r="A19" s="199">
        <v>1982</v>
      </c>
      <c r="B19" s="213">
        <v>334.71</v>
      </c>
      <c r="C19" s="213">
        <v>72.778999999999996</v>
      </c>
      <c r="D19" s="213">
        <v>190.49199999999999</v>
      </c>
      <c r="E19" s="213">
        <v>94.066999999999993</v>
      </c>
      <c r="F19" s="213">
        <v>52.350999999999999</v>
      </c>
      <c r="G19" s="213">
        <v>32.011000000000003</v>
      </c>
      <c r="H19" s="213">
        <v>12.063000000000001</v>
      </c>
      <c r="I19" s="213">
        <v>71.44</v>
      </c>
      <c r="J19" s="213">
        <v>8.6210000000000004</v>
      </c>
      <c r="K19" s="213">
        <f t="shared" si="0"/>
        <v>26.408999999999999</v>
      </c>
      <c r="L19" s="213">
        <v>6.0250000000000004</v>
      </c>
      <c r="M19" s="213">
        <v>11.567</v>
      </c>
      <c r="N19" s="213">
        <v>8.8170000000000002</v>
      </c>
      <c r="O19" s="61">
        <v>334.69900000000001</v>
      </c>
      <c r="P19" s="214">
        <f t="shared" si="1"/>
        <v>-1.0999999999967258E-2</v>
      </c>
      <c r="Q19" s="85">
        <f t="shared" si="2"/>
        <v>-3.2864270562478742E-5</v>
      </c>
    </row>
    <row r="20" spans="1:17" ht="12.75" customHeight="1">
      <c r="A20" s="199">
        <v>1983</v>
      </c>
      <c r="B20" s="213">
        <v>368.995</v>
      </c>
      <c r="C20" s="213">
        <v>78.965999999999994</v>
      </c>
      <c r="D20" s="213">
        <v>212.56200000000001</v>
      </c>
      <c r="E20" s="213">
        <v>104.949</v>
      </c>
      <c r="F20" s="213">
        <v>59.558999999999997</v>
      </c>
      <c r="G20" s="213">
        <v>35.265999999999998</v>
      </c>
      <c r="H20" s="213">
        <v>12.789</v>
      </c>
      <c r="I20" s="213">
        <v>77.466999999999999</v>
      </c>
      <c r="J20" s="213">
        <v>9.2509999999999994</v>
      </c>
      <c r="K20" s="213">
        <f t="shared" si="0"/>
        <v>29.260999999999999</v>
      </c>
      <c r="L20" s="213">
        <v>6.5430000000000001</v>
      </c>
      <c r="M20" s="213">
        <v>12.483000000000001</v>
      </c>
      <c r="N20" s="213">
        <v>10.234999999999999</v>
      </c>
      <c r="O20" s="61">
        <v>368.98700000000002</v>
      </c>
      <c r="P20" s="214">
        <f t="shared" si="1"/>
        <v>-7.9999999999813554E-3</v>
      </c>
      <c r="Q20" s="85">
        <f t="shared" si="2"/>
        <v>-2.1680510575973538E-5</v>
      </c>
    </row>
    <row r="21" spans="1:17" ht="12.75" customHeight="1">
      <c r="A21" s="199">
        <v>1984</v>
      </c>
      <c r="B21" s="213">
        <v>406.51600000000002</v>
      </c>
      <c r="C21" s="213">
        <v>86.850999999999999</v>
      </c>
      <c r="D21" s="213">
        <v>237.27600000000001</v>
      </c>
      <c r="E21" s="213">
        <v>118.92400000000001</v>
      </c>
      <c r="F21" s="213">
        <v>66.206999999999994</v>
      </c>
      <c r="G21" s="213">
        <v>38.232999999999997</v>
      </c>
      <c r="H21" s="213">
        <v>13.912000000000001</v>
      </c>
      <c r="I21" s="213">
        <v>82.388999999999996</v>
      </c>
      <c r="J21" s="213">
        <v>9.8420000000000005</v>
      </c>
      <c r="K21" s="213">
        <f t="shared" si="0"/>
        <v>30.995999999999999</v>
      </c>
      <c r="L21" s="213">
        <v>7.6079999999999997</v>
      </c>
      <c r="M21" s="213">
        <v>12.199</v>
      </c>
      <c r="N21" s="213">
        <v>11.189</v>
      </c>
      <c r="O21" s="61">
        <v>406.512</v>
      </c>
      <c r="P21" s="214">
        <f t="shared" si="1"/>
        <v>-4.0000000000190994E-3</v>
      </c>
      <c r="Q21" s="85">
        <f t="shared" si="2"/>
        <v>-9.8397111061289085E-6</v>
      </c>
    </row>
    <row r="22" spans="1:17" ht="12.75" customHeight="1">
      <c r="A22" s="199">
        <v>1985</v>
      </c>
      <c r="B22" s="213">
        <v>444.62299999999999</v>
      </c>
      <c r="C22" s="213">
        <v>96.001999999999995</v>
      </c>
      <c r="D22" s="213">
        <v>259.18700000000001</v>
      </c>
      <c r="E22" s="213">
        <v>131.226</v>
      </c>
      <c r="F22" s="213">
        <v>71.828999999999994</v>
      </c>
      <c r="G22" s="213">
        <v>40.936999999999998</v>
      </c>
      <c r="H22" s="213">
        <v>15.196</v>
      </c>
      <c r="I22" s="213">
        <v>89.433999999999997</v>
      </c>
      <c r="J22" s="213">
        <v>11.212</v>
      </c>
      <c r="K22" s="213">
        <f t="shared" si="0"/>
        <v>31.241</v>
      </c>
      <c r="L22" s="213">
        <v>8.32</v>
      </c>
      <c r="M22" s="213">
        <v>11.225</v>
      </c>
      <c r="N22" s="213">
        <v>11.696</v>
      </c>
      <c r="O22" s="61">
        <v>444.608</v>
      </c>
      <c r="P22" s="214">
        <f t="shared" si="1"/>
        <v>-1.4999999999986358E-2</v>
      </c>
      <c r="Q22" s="85">
        <f t="shared" si="2"/>
        <v>-3.3736446382635083E-5</v>
      </c>
    </row>
    <row r="23" spans="1:17" ht="12.75" customHeight="1">
      <c r="A23" s="199">
        <v>1986</v>
      </c>
      <c r="B23" s="213">
        <v>476.9</v>
      </c>
      <c r="C23" s="213">
        <v>104.06</v>
      </c>
      <c r="D23" s="213">
        <v>274.68</v>
      </c>
      <c r="E23" s="213">
        <v>136.05799999999999</v>
      </c>
      <c r="F23" s="213">
        <v>76.828999999999994</v>
      </c>
      <c r="G23" s="213">
        <v>45.383000000000003</v>
      </c>
      <c r="H23" s="213">
        <v>16.408999999999999</v>
      </c>
      <c r="I23" s="213">
        <v>98.161000000000001</v>
      </c>
      <c r="J23" s="213">
        <v>12.387</v>
      </c>
      <c r="K23" s="213">
        <f t="shared" si="0"/>
        <v>32.506</v>
      </c>
      <c r="L23" s="213">
        <v>9.0020000000000007</v>
      </c>
      <c r="M23" s="213">
        <v>11.105</v>
      </c>
      <c r="N23" s="213">
        <v>12.398999999999999</v>
      </c>
      <c r="O23" s="61">
        <v>476.892</v>
      </c>
      <c r="P23" s="214">
        <f t="shared" si="1"/>
        <v>-7.9999999999813554E-3</v>
      </c>
      <c r="Q23" s="85">
        <f t="shared" si="2"/>
        <v>-1.6775005242150045E-5</v>
      </c>
    </row>
    <row r="24" spans="1:17" ht="12.75" customHeight="1">
      <c r="A24" s="199">
        <v>1987</v>
      </c>
      <c r="B24" s="213">
        <v>519.11599999999999</v>
      </c>
      <c r="C24" s="213">
        <v>110.17700000000001</v>
      </c>
      <c r="D24" s="213">
        <v>300.09100000000001</v>
      </c>
      <c r="E24" s="213">
        <v>149.233</v>
      </c>
      <c r="F24" s="213">
        <v>83.081000000000003</v>
      </c>
      <c r="G24" s="213">
        <v>50.338999999999999</v>
      </c>
      <c r="H24" s="213">
        <v>17.437999999999999</v>
      </c>
      <c r="I24" s="213">
        <v>108.848</v>
      </c>
      <c r="J24" s="213">
        <v>13.571999999999999</v>
      </c>
      <c r="K24" s="213">
        <f t="shared" si="0"/>
        <v>35.992000000000004</v>
      </c>
      <c r="L24" s="213">
        <v>10.025</v>
      </c>
      <c r="M24" s="213">
        <v>12.507999999999999</v>
      </c>
      <c r="N24" s="213">
        <v>13.459</v>
      </c>
      <c r="O24" s="61">
        <v>519.11699999999996</v>
      </c>
      <c r="P24" s="214">
        <f t="shared" si="1"/>
        <v>9.9999999997635314E-4</v>
      </c>
      <c r="Q24" s="85">
        <f t="shared" si="2"/>
        <v>1.9263517209570753E-6</v>
      </c>
    </row>
    <row r="25" spans="1:17" ht="12.75" customHeight="1">
      <c r="A25" s="199">
        <v>1988</v>
      </c>
      <c r="B25" s="213">
        <v>581.69799999999998</v>
      </c>
      <c r="C25" s="213">
        <v>120.843</v>
      </c>
      <c r="D25" s="213">
        <v>338.38</v>
      </c>
      <c r="E25" s="213">
        <v>175.92699999999999</v>
      </c>
      <c r="F25" s="213">
        <v>88.965000000000003</v>
      </c>
      <c r="G25" s="213">
        <v>55.08</v>
      </c>
      <c r="H25" s="213">
        <v>18.408000000000001</v>
      </c>
      <c r="I25" s="213">
        <v>122.47499999999999</v>
      </c>
      <c r="J25" s="213">
        <v>15.266999999999999</v>
      </c>
      <c r="K25" s="213">
        <f t="shared" si="0"/>
        <v>40.167000000000002</v>
      </c>
      <c r="L25" s="213">
        <v>10.836</v>
      </c>
      <c r="M25" s="213">
        <v>14.438000000000001</v>
      </c>
      <c r="N25" s="213">
        <v>14.893000000000001</v>
      </c>
      <c r="O25" s="61">
        <v>581.69799999999998</v>
      </c>
      <c r="P25" s="214">
        <f t="shared" si="1"/>
        <v>0</v>
      </c>
      <c r="Q25" s="85">
        <f t="shared" si="2"/>
        <v>0</v>
      </c>
    </row>
    <row r="26" spans="1:17" ht="12.75" customHeight="1">
      <c r="A26" s="199">
        <v>1989</v>
      </c>
      <c r="B26" s="213">
        <v>647.47299999999996</v>
      </c>
      <c r="C26" s="213">
        <v>127.327</v>
      </c>
      <c r="D26" s="213">
        <v>387.51600000000002</v>
      </c>
      <c r="E26" s="213">
        <v>205.02099999999999</v>
      </c>
      <c r="F26" s="213">
        <v>101.137</v>
      </c>
      <c r="G26" s="213">
        <v>61.951999999999998</v>
      </c>
      <c r="H26" s="213">
        <v>19.407</v>
      </c>
      <c r="I26" s="213">
        <v>132.63</v>
      </c>
      <c r="J26" s="213">
        <v>17.774999999999999</v>
      </c>
      <c r="K26" s="213">
        <f t="shared" si="0"/>
        <v>43.975999999999999</v>
      </c>
      <c r="L26" s="213">
        <v>11.738</v>
      </c>
      <c r="M26" s="213">
        <v>14.978</v>
      </c>
      <c r="N26" s="213">
        <v>17.260000000000002</v>
      </c>
      <c r="O26" s="61">
        <v>647.46500000000003</v>
      </c>
      <c r="P26" s="214">
        <f t="shared" si="1"/>
        <v>-7.9999999999245119E-3</v>
      </c>
      <c r="Q26" s="85">
        <f t="shared" si="2"/>
        <v>-1.235572757462398E-5</v>
      </c>
    </row>
    <row r="27" spans="1:17" ht="18" customHeight="1">
      <c r="A27" s="199">
        <v>1990</v>
      </c>
      <c r="B27" s="213">
        <v>724.28200000000004</v>
      </c>
      <c r="C27" s="213">
        <v>138.65799999999999</v>
      </c>
      <c r="D27" s="213">
        <v>439.48500000000001</v>
      </c>
      <c r="E27" s="213">
        <v>234.25700000000001</v>
      </c>
      <c r="F27" s="213">
        <v>110.182</v>
      </c>
      <c r="G27" s="213">
        <v>73.661000000000001</v>
      </c>
      <c r="H27" s="213">
        <v>21.385000000000002</v>
      </c>
      <c r="I27" s="213">
        <v>146.13999999999999</v>
      </c>
      <c r="J27" s="213">
        <v>19.995999999999999</v>
      </c>
      <c r="K27" s="213">
        <f t="shared" si="0"/>
        <v>48.686</v>
      </c>
      <c r="L27" s="213">
        <v>12.678000000000001</v>
      </c>
      <c r="M27" s="213">
        <v>17.047000000000001</v>
      </c>
      <c r="N27" s="213">
        <v>18.960999999999999</v>
      </c>
      <c r="O27" s="61">
        <v>724.27800000000002</v>
      </c>
      <c r="P27" s="214">
        <f t="shared" si="1"/>
        <v>-4.0000000000190994E-3</v>
      </c>
      <c r="Q27" s="85">
        <f t="shared" si="2"/>
        <v>-5.5227107673794177E-6</v>
      </c>
    </row>
    <row r="28" spans="1:17" ht="12.75" customHeight="1">
      <c r="A28" s="199">
        <v>1991</v>
      </c>
      <c r="B28" s="213">
        <v>791.524</v>
      </c>
      <c r="C28" s="213">
        <v>141.70099999999999</v>
      </c>
      <c r="D28" s="213">
        <v>492.85</v>
      </c>
      <c r="E28" s="213">
        <v>255.63399999999999</v>
      </c>
      <c r="F28" s="213">
        <v>120.617</v>
      </c>
      <c r="G28" s="213">
        <v>93.210999999999999</v>
      </c>
      <c r="H28" s="213">
        <v>23.388999999999999</v>
      </c>
      <c r="I28" s="213">
        <v>156.97300000000001</v>
      </c>
      <c r="J28" s="213">
        <v>22.126999999999999</v>
      </c>
      <c r="K28" s="213">
        <f t="shared" si="0"/>
        <v>52.046999999999997</v>
      </c>
      <c r="L28" s="213">
        <v>13.819000000000001</v>
      </c>
      <c r="M28" s="213">
        <v>16.802</v>
      </c>
      <c r="N28" s="213">
        <v>21.425999999999998</v>
      </c>
      <c r="O28" s="61">
        <v>791.52499999999998</v>
      </c>
      <c r="P28" s="214">
        <f t="shared" si="1"/>
        <v>9.9999999997635314E-4</v>
      </c>
      <c r="Q28" s="85">
        <f t="shared" si="2"/>
        <v>1.2633855700854972E-6</v>
      </c>
    </row>
    <row r="29" spans="1:17" ht="12.75" customHeight="1">
      <c r="A29" s="199">
        <v>1992</v>
      </c>
      <c r="B29" s="213">
        <v>857.92700000000002</v>
      </c>
      <c r="C29" s="213">
        <v>144.22900000000001</v>
      </c>
      <c r="D29" s="213">
        <v>544.00599999999997</v>
      </c>
      <c r="E29" s="213">
        <v>275.60899999999998</v>
      </c>
      <c r="F29" s="213">
        <v>135.99600000000001</v>
      </c>
      <c r="G29" s="213">
        <v>108.18600000000001</v>
      </c>
      <c r="H29" s="213">
        <v>24.215</v>
      </c>
      <c r="I29" s="213">
        <v>169.691</v>
      </c>
      <c r="J29" s="213">
        <v>24.370999999999999</v>
      </c>
      <c r="K29" s="213">
        <f t="shared" si="0"/>
        <v>56.897000000000006</v>
      </c>
      <c r="L29" s="213">
        <v>15.090999999999999</v>
      </c>
      <c r="M29" s="213">
        <v>18.341000000000001</v>
      </c>
      <c r="N29" s="213">
        <v>23.465</v>
      </c>
      <c r="O29" s="61">
        <v>857.91</v>
      </c>
      <c r="P29" s="214">
        <f t="shared" si="1"/>
        <v>-1.7000000000052751E-2</v>
      </c>
      <c r="Q29" s="85">
        <f t="shared" si="2"/>
        <v>-1.9815205722692898E-5</v>
      </c>
    </row>
    <row r="30" spans="1:17" ht="12.75" customHeight="1">
      <c r="A30" s="199">
        <v>1993</v>
      </c>
      <c r="B30" s="213">
        <v>921.49900000000002</v>
      </c>
      <c r="C30" s="213">
        <v>145.31399999999999</v>
      </c>
      <c r="D30" s="213">
        <v>594.29999999999995</v>
      </c>
      <c r="E30" s="213">
        <v>296.31700000000001</v>
      </c>
      <c r="F30" s="213">
        <v>149.965</v>
      </c>
      <c r="G30" s="213">
        <v>122.373</v>
      </c>
      <c r="H30" s="213">
        <v>25.645</v>
      </c>
      <c r="I30" s="213">
        <v>181.88499999999999</v>
      </c>
      <c r="J30" s="213">
        <v>26.776</v>
      </c>
      <c r="K30" s="213">
        <f t="shared" si="0"/>
        <v>61.179999999999993</v>
      </c>
      <c r="L30" s="213">
        <v>16.472000000000001</v>
      </c>
      <c r="M30" s="213">
        <v>19.928999999999998</v>
      </c>
      <c r="N30" s="213">
        <v>24.779</v>
      </c>
      <c r="O30" s="61">
        <v>921.49199999999996</v>
      </c>
      <c r="P30" s="214">
        <f t="shared" si="1"/>
        <v>-7.0000000000618456E-3</v>
      </c>
      <c r="Q30" s="85">
        <f t="shared" si="2"/>
        <v>-7.5963186070325039E-6</v>
      </c>
    </row>
    <row r="31" spans="1:17" ht="12.75" customHeight="1">
      <c r="A31" s="199">
        <v>1994</v>
      </c>
      <c r="B31" s="213">
        <v>972.69600000000003</v>
      </c>
      <c r="C31" s="213">
        <v>143.471</v>
      </c>
      <c r="D31" s="213">
        <v>638.05999999999995</v>
      </c>
      <c r="E31" s="213">
        <v>309.53199999999998</v>
      </c>
      <c r="F31" s="213">
        <v>167.67</v>
      </c>
      <c r="G31" s="213">
        <v>134.41399999999999</v>
      </c>
      <c r="H31" s="213">
        <v>26.443999999999999</v>
      </c>
      <c r="I31" s="213">
        <v>191.16499999999999</v>
      </c>
      <c r="J31" s="213">
        <v>29.591000000000001</v>
      </c>
      <c r="K31" s="213">
        <f t="shared" si="0"/>
        <v>63.926000000000002</v>
      </c>
      <c r="L31" s="213">
        <v>17.757999999999999</v>
      </c>
      <c r="M31" s="213">
        <v>20.837</v>
      </c>
      <c r="N31" s="213">
        <v>25.331</v>
      </c>
      <c r="O31" s="61">
        <v>972.68700000000001</v>
      </c>
      <c r="P31" s="214">
        <f t="shared" si="1"/>
        <v>-9.0000000000145519E-3</v>
      </c>
      <c r="Q31" s="85">
        <f t="shared" si="2"/>
        <v>-9.252633916469844E-6</v>
      </c>
    </row>
    <row r="32" spans="1:17" ht="12.75" customHeight="1">
      <c r="A32" s="199">
        <v>1995</v>
      </c>
      <c r="B32" s="213">
        <v>1027.4570000000001</v>
      </c>
      <c r="C32" s="213">
        <v>146.36699999999999</v>
      </c>
      <c r="D32" s="213">
        <v>682.94299999999998</v>
      </c>
      <c r="E32" s="213">
        <v>326.803</v>
      </c>
      <c r="F32" s="213">
        <v>184.393</v>
      </c>
      <c r="G32" s="213">
        <v>144.86199999999999</v>
      </c>
      <c r="H32" s="213">
        <v>26.885000000000002</v>
      </c>
      <c r="I32" s="213">
        <v>198.14699999999999</v>
      </c>
      <c r="J32" s="213">
        <v>30.992999999999999</v>
      </c>
      <c r="K32" s="213">
        <f t="shared" si="0"/>
        <v>65.861999999999995</v>
      </c>
      <c r="L32" s="213">
        <v>18.670000000000002</v>
      </c>
      <c r="M32" s="213">
        <v>20.922000000000001</v>
      </c>
      <c r="N32" s="213">
        <v>26.27</v>
      </c>
      <c r="O32" s="61">
        <v>1027.432</v>
      </c>
      <c r="P32" s="214">
        <f t="shared" si="1"/>
        <v>-2.5000000000090949E-2</v>
      </c>
      <c r="Q32" s="85">
        <f t="shared" si="2"/>
        <v>-2.4331918513466693E-5</v>
      </c>
    </row>
    <row r="33" spans="1:17" ht="12.75" customHeight="1">
      <c r="A33" s="199">
        <v>1996</v>
      </c>
      <c r="B33" s="213">
        <v>1081.8610000000001</v>
      </c>
      <c r="C33" s="213">
        <v>152.20699999999999</v>
      </c>
      <c r="D33" s="213">
        <v>724.27</v>
      </c>
      <c r="E33" s="213">
        <v>345.83199999999999</v>
      </c>
      <c r="F33" s="213">
        <v>198.74799999999999</v>
      </c>
      <c r="G33" s="213">
        <v>152.16999999999999</v>
      </c>
      <c r="H33" s="213">
        <v>27.52</v>
      </c>
      <c r="I33" s="213">
        <v>205.38399999999999</v>
      </c>
      <c r="J33" s="213">
        <v>32.372999999999998</v>
      </c>
      <c r="K33" s="213">
        <f t="shared" si="0"/>
        <v>67.739999999999995</v>
      </c>
      <c r="L33" s="213">
        <v>17.808</v>
      </c>
      <c r="M33" s="213">
        <v>21.635000000000002</v>
      </c>
      <c r="N33" s="213">
        <v>28.297000000000001</v>
      </c>
      <c r="O33" s="61">
        <v>1081.8489999999999</v>
      </c>
      <c r="P33" s="214">
        <f t="shared" si="1"/>
        <v>-1.2000000000170985E-2</v>
      </c>
      <c r="Q33" s="85">
        <f t="shared" si="2"/>
        <v>-1.1091997955533089E-5</v>
      </c>
    </row>
    <row r="34" spans="1:17" ht="12.75" customHeight="1">
      <c r="A34" s="199">
        <v>1997</v>
      </c>
      <c r="B34" s="213">
        <v>1142.6320000000001</v>
      </c>
      <c r="C34" s="213">
        <v>163.815</v>
      </c>
      <c r="D34" s="213">
        <v>761.24</v>
      </c>
      <c r="E34" s="213">
        <v>362.476</v>
      </c>
      <c r="F34" s="213">
        <v>210.375</v>
      </c>
      <c r="G34" s="213">
        <v>160.84899999999999</v>
      </c>
      <c r="H34" s="213">
        <v>27.54</v>
      </c>
      <c r="I34" s="213">
        <v>217.577</v>
      </c>
      <c r="J34" s="213">
        <v>34.826999999999998</v>
      </c>
      <c r="K34" s="213">
        <f t="shared" si="0"/>
        <v>72.185000000000002</v>
      </c>
      <c r="L34" s="213">
        <v>19.64</v>
      </c>
      <c r="M34" s="213">
        <v>23.152999999999999</v>
      </c>
      <c r="N34" s="213">
        <v>29.391999999999999</v>
      </c>
      <c r="O34" s="61">
        <v>1142.6210000000001</v>
      </c>
      <c r="P34" s="214">
        <f t="shared" si="1"/>
        <v>-1.0999999999967258E-2</v>
      </c>
      <c r="Q34" s="85">
        <f t="shared" si="2"/>
        <v>-9.6268964985815702E-6</v>
      </c>
    </row>
    <row r="35" spans="1:17" ht="12.75" customHeight="1">
      <c r="A35" s="199">
        <v>1998</v>
      </c>
      <c r="B35" s="213">
        <v>1209.038</v>
      </c>
      <c r="C35" s="213">
        <v>179.42099999999999</v>
      </c>
      <c r="D35" s="213">
        <v>795.28</v>
      </c>
      <c r="E35" s="213">
        <v>388.09199999999998</v>
      </c>
      <c r="F35" s="213">
        <v>209.21199999999999</v>
      </c>
      <c r="G35" s="213">
        <v>169.029</v>
      </c>
      <c r="H35" s="213">
        <v>28.946999999999999</v>
      </c>
      <c r="I35" s="213">
        <v>234.33699999999999</v>
      </c>
      <c r="J35" s="213">
        <v>37.454999999999998</v>
      </c>
      <c r="K35" s="213">
        <f t="shared" si="0"/>
        <v>79.423000000000002</v>
      </c>
      <c r="L35" s="213">
        <v>21.506</v>
      </c>
      <c r="M35" s="213">
        <v>23.745999999999999</v>
      </c>
      <c r="N35" s="213">
        <v>34.170999999999999</v>
      </c>
      <c r="O35" s="61">
        <v>1208.933</v>
      </c>
      <c r="P35" s="214">
        <f t="shared" si="1"/>
        <v>-0.10500000000001819</v>
      </c>
      <c r="Q35" s="85">
        <f t="shared" si="2"/>
        <v>-8.684590558776332E-5</v>
      </c>
    </row>
    <row r="36" spans="1:17" ht="12.75" customHeight="1">
      <c r="A36" s="199">
        <v>1999</v>
      </c>
      <c r="B36" s="213">
        <v>1286.6220000000001</v>
      </c>
      <c r="C36" s="213">
        <v>190.48500000000001</v>
      </c>
      <c r="D36" s="213">
        <v>848.14499999999998</v>
      </c>
      <c r="E36" s="213">
        <v>419.93099999999998</v>
      </c>
      <c r="F36" s="213">
        <v>212.81200000000001</v>
      </c>
      <c r="G36" s="213">
        <v>183.53399999999999</v>
      </c>
      <c r="H36" s="213">
        <v>31.867000000000001</v>
      </c>
      <c r="I36" s="213">
        <v>247.99199999999999</v>
      </c>
      <c r="J36" s="213">
        <v>40.744</v>
      </c>
      <c r="K36" s="213">
        <f t="shared" si="0"/>
        <v>85.503999999999991</v>
      </c>
      <c r="L36" s="213">
        <v>23.369</v>
      </c>
      <c r="M36" s="213">
        <v>25.405000000000001</v>
      </c>
      <c r="N36" s="213">
        <v>36.729999999999997</v>
      </c>
      <c r="O36" s="61">
        <v>1286.4559999999999</v>
      </c>
      <c r="P36" s="214">
        <f t="shared" si="1"/>
        <v>-0.16600000000016735</v>
      </c>
      <c r="Q36" s="85">
        <f t="shared" si="2"/>
        <v>-1.290200229750209E-4</v>
      </c>
    </row>
    <row r="37" spans="1:17" ht="18" customHeight="1">
      <c r="A37" s="199">
        <v>2000</v>
      </c>
      <c r="B37" s="213">
        <v>1377.1849999999999</v>
      </c>
      <c r="C37" s="213">
        <v>201.816</v>
      </c>
      <c r="D37" s="213">
        <v>920.303</v>
      </c>
      <c r="E37" s="213">
        <v>459.63299999999998</v>
      </c>
      <c r="F37" s="213">
        <v>224.33699999999999</v>
      </c>
      <c r="G37" s="213">
        <v>200.483</v>
      </c>
      <c r="H37" s="213">
        <v>35.850999999999999</v>
      </c>
      <c r="I37" s="213">
        <v>255.066</v>
      </c>
      <c r="J37" s="213">
        <v>43</v>
      </c>
      <c r="K37" s="213">
        <f t="shared" si="0"/>
        <v>87.545000000000002</v>
      </c>
      <c r="L37" s="213">
        <v>25.465</v>
      </c>
      <c r="M37" s="213">
        <v>25.373999999999999</v>
      </c>
      <c r="N37" s="213">
        <v>36.706000000000003</v>
      </c>
      <c r="O37" s="61">
        <v>1377.1780000000001</v>
      </c>
      <c r="P37" s="214">
        <f t="shared" si="1"/>
        <v>-6.999999999834472E-3</v>
      </c>
      <c r="Q37" s="85">
        <f t="shared" si="2"/>
        <v>-5.0828320086513234E-6</v>
      </c>
    </row>
    <row r="38" spans="1:17" ht="12.75" customHeight="1">
      <c r="A38" s="199">
        <v>2001</v>
      </c>
      <c r="B38" s="213">
        <v>1494.116</v>
      </c>
      <c r="C38" s="213">
        <v>209.12200000000001</v>
      </c>
      <c r="D38" s="213">
        <v>1015.13</v>
      </c>
      <c r="E38" s="213">
        <v>503.02499999999998</v>
      </c>
      <c r="F38" s="213">
        <v>247.11500000000001</v>
      </c>
      <c r="G38" s="213">
        <v>224.23599999999999</v>
      </c>
      <c r="H38" s="213">
        <v>40.753999999999998</v>
      </c>
      <c r="I38" s="213">
        <v>269.86399999999998</v>
      </c>
      <c r="J38" s="213">
        <v>47.484999999999999</v>
      </c>
      <c r="K38" s="213">
        <f t="shared" si="0"/>
        <v>91.274000000000001</v>
      </c>
      <c r="L38" s="213">
        <v>28.51</v>
      </c>
      <c r="M38" s="213">
        <v>26.117999999999999</v>
      </c>
      <c r="N38" s="213">
        <v>36.646000000000001</v>
      </c>
      <c r="O38" s="61">
        <v>1493.347</v>
      </c>
      <c r="P38" s="214">
        <f t="shared" si="1"/>
        <v>-0.76900000000000546</v>
      </c>
      <c r="Q38" s="85">
        <f t="shared" si="2"/>
        <v>-5.1468560674004262E-4</v>
      </c>
    </row>
    <row r="39" spans="1:17" ht="12.75" customHeight="1">
      <c r="A39" s="199">
        <v>2002</v>
      </c>
      <c r="B39" s="213">
        <v>1636.4159999999999</v>
      </c>
      <c r="C39" s="213">
        <v>222.19399999999999</v>
      </c>
      <c r="D39" s="213">
        <v>1120.549</v>
      </c>
      <c r="E39" s="213">
        <v>560.46</v>
      </c>
      <c r="F39" s="213">
        <v>264.58699999999999</v>
      </c>
      <c r="G39" s="213">
        <v>248.21799999999999</v>
      </c>
      <c r="H39" s="213">
        <v>47.283999999999999</v>
      </c>
      <c r="I39" s="213">
        <v>293.673</v>
      </c>
      <c r="J39" s="213">
        <v>51.869</v>
      </c>
      <c r="K39" s="213">
        <f t="shared" si="0"/>
        <v>102.044</v>
      </c>
      <c r="L39" s="213">
        <v>32.015999999999998</v>
      </c>
      <c r="M39" s="213">
        <v>29.26</v>
      </c>
      <c r="N39" s="213">
        <v>40.768000000000001</v>
      </c>
      <c r="O39" s="61">
        <v>1637.9559999999999</v>
      </c>
      <c r="P39" s="214">
        <f t="shared" si="1"/>
        <v>1.5399999999999636</v>
      </c>
      <c r="Q39" s="85">
        <f t="shared" si="2"/>
        <v>9.4108099651920034E-4</v>
      </c>
    </row>
    <row r="40" spans="1:17" ht="12.75" customHeight="1">
      <c r="A40" s="199">
        <v>2003</v>
      </c>
      <c r="B40" s="213">
        <v>1774.297</v>
      </c>
      <c r="C40" s="213">
        <v>236.816</v>
      </c>
      <c r="D40" s="213">
        <v>1220.79</v>
      </c>
      <c r="E40" s="213">
        <v>614.47299999999996</v>
      </c>
      <c r="F40" s="213">
        <v>282.01100000000002</v>
      </c>
      <c r="G40" s="213">
        <v>269.10500000000002</v>
      </c>
      <c r="H40" s="213">
        <v>55.201999999999998</v>
      </c>
      <c r="I40" s="213">
        <v>316.69099999999997</v>
      </c>
      <c r="J40" s="213">
        <v>53.762999999999998</v>
      </c>
      <c r="K40" s="213">
        <f t="shared" si="0"/>
        <v>109.964</v>
      </c>
      <c r="L40" s="213">
        <v>34.863</v>
      </c>
      <c r="M40" s="213">
        <v>30.911000000000001</v>
      </c>
      <c r="N40" s="213">
        <v>44.19</v>
      </c>
      <c r="O40" s="61">
        <v>1775.4390000000001</v>
      </c>
      <c r="P40" s="214">
        <f t="shared" si="1"/>
        <v>1.1420000000000528</v>
      </c>
      <c r="Q40" s="85">
        <f t="shared" si="2"/>
        <v>6.4363519748951426E-4</v>
      </c>
    </row>
    <row r="41" spans="1:17" ht="12.75" customHeight="1">
      <c r="A41" s="199">
        <v>2004</v>
      </c>
      <c r="B41" s="213">
        <v>1900.0450000000001</v>
      </c>
      <c r="C41" s="213">
        <v>248.89400000000001</v>
      </c>
      <c r="D41" s="213">
        <v>1320.6110000000001</v>
      </c>
      <c r="E41" s="213">
        <v>658.91099999999994</v>
      </c>
      <c r="F41" s="213">
        <v>310.47300000000001</v>
      </c>
      <c r="G41" s="213">
        <v>290.91699999999997</v>
      </c>
      <c r="H41" s="213">
        <v>60.311</v>
      </c>
      <c r="I41" s="213">
        <v>330.53899999999999</v>
      </c>
      <c r="J41" s="213">
        <v>53.975999999999999</v>
      </c>
      <c r="K41" s="213">
        <f t="shared" si="0"/>
        <v>117.404</v>
      </c>
      <c r="L41" s="213">
        <v>38.508000000000003</v>
      </c>
      <c r="M41" s="213">
        <v>33.061999999999998</v>
      </c>
      <c r="N41" s="213">
        <v>45.834000000000003</v>
      </c>
      <c r="O41" s="61">
        <v>1901.5989999999999</v>
      </c>
      <c r="P41" s="214">
        <f t="shared" si="1"/>
        <v>1.5539999999998599</v>
      </c>
      <c r="Q41" s="85">
        <f t="shared" si="2"/>
        <v>8.1787536610967624E-4</v>
      </c>
    </row>
    <row r="42" spans="1:17" ht="12.75" customHeight="1">
      <c r="A42" s="199">
        <v>2005</v>
      </c>
      <c r="B42" s="213">
        <v>2029.1469999999999</v>
      </c>
      <c r="C42" s="213">
        <v>263.37900000000002</v>
      </c>
      <c r="D42" s="213">
        <v>1415.2650000000001</v>
      </c>
      <c r="E42" s="213">
        <v>702.89499999999998</v>
      </c>
      <c r="F42" s="213">
        <v>338.77199999999999</v>
      </c>
      <c r="G42" s="213">
        <v>309.53800000000001</v>
      </c>
      <c r="H42" s="213">
        <v>64.058999999999997</v>
      </c>
      <c r="I42" s="213">
        <v>350.50400000000002</v>
      </c>
      <c r="J42" s="213">
        <v>56.198999999999998</v>
      </c>
      <c r="K42" s="213">
        <f t="shared" si="0"/>
        <v>126.50800000000001</v>
      </c>
      <c r="L42" s="213">
        <v>40.322000000000003</v>
      </c>
      <c r="M42" s="213">
        <v>36.206000000000003</v>
      </c>
      <c r="N42" s="213">
        <v>49.98</v>
      </c>
      <c r="O42" s="61">
        <v>2030.4970000000001</v>
      </c>
      <c r="P42" s="214">
        <f t="shared" si="1"/>
        <v>1.3500000000001364</v>
      </c>
      <c r="Q42" s="85">
        <f t="shared" si="2"/>
        <v>6.6530418939590697E-4</v>
      </c>
    </row>
    <row r="43" spans="1:17" ht="12.75" customHeight="1">
      <c r="A43" s="199">
        <v>2006</v>
      </c>
      <c r="B43" s="213">
        <v>2162.4090000000001</v>
      </c>
      <c r="C43" s="213">
        <v>271.94400000000002</v>
      </c>
      <c r="D43" s="213">
        <v>1520.191</v>
      </c>
      <c r="E43" s="213">
        <v>740.16700000000003</v>
      </c>
      <c r="F43" s="213">
        <v>403.108</v>
      </c>
      <c r="G43" s="213">
        <v>306.83999999999997</v>
      </c>
      <c r="H43" s="213">
        <v>70.075999999999993</v>
      </c>
      <c r="I43" s="213">
        <v>370.274</v>
      </c>
      <c r="J43" s="213">
        <v>62.546999999999997</v>
      </c>
      <c r="K43" s="213">
        <f t="shared" si="0"/>
        <v>130.94299999999998</v>
      </c>
      <c r="L43" s="213">
        <v>41.387999999999998</v>
      </c>
      <c r="M43" s="213">
        <v>40.627000000000002</v>
      </c>
      <c r="N43" s="213">
        <v>48.927999999999997</v>
      </c>
      <c r="O43" s="61">
        <v>2163.2930000000001</v>
      </c>
      <c r="P43" s="214">
        <f t="shared" si="1"/>
        <v>0.88400000000001455</v>
      </c>
      <c r="Q43" s="85">
        <f t="shared" si="2"/>
        <v>4.0880332998984676E-4</v>
      </c>
    </row>
    <row r="44" spans="1:17" ht="12.75" customHeight="1">
      <c r="A44" s="199">
        <v>2007</v>
      </c>
      <c r="B44" s="213">
        <v>2297.098</v>
      </c>
      <c r="C44" s="213">
        <v>287.27699999999999</v>
      </c>
      <c r="D44" s="213">
        <v>1610.2329999999999</v>
      </c>
      <c r="E44" s="213">
        <v>776.21299999999997</v>
      </c>
      <c r="F44" s="213">
        <v>432.25799999999998</v>
      </c>
      <c r="G44" s="213">
        <v>326.37099999999998</v>
      </c>
      <c r="H44" s="213">
        <v>75.391999999999996</v>
      </c>
      <c r="I44" s="213">
        <v>399.58800000000002</v>
      </c>
      <c r="J44" s="213">
        <v>69.037999999999997</v>
      </c>
      <c r="K44" s="213">
        <f t="shared" si="0"/>
        <v>143.65100000000001</v>
      </c>
      <c r="L44" s="213">
        <v>41.933</v>
      </c>
      <c r="M44" s="213">
        <v>46.515000000000001</v>
      </c>
      <c r="N44" s="213">
        <v>55.203000000000003</v>
      </c>
      <c r="O44" s="61">
        <v>2298.2689999999998</v>
      </c>
      <c r="P44" s="214">
        <f t="shared" si="1"/>
        <v>1.1709999999998217</v>
      </c>
      <c r="Q44" s="85">
        <f t="shared" si="2"/>
        <v>5.0977363612689653E-4</v>
      </c>
    </row>
    <row r="45" spans="1:17" ht="12.75" customHeight="1">
      <c r="A45" s="199">
        <v>2008</v>
      </c>
      <c r="B45" s="213">
        <v>2403.9380000000001</v>
      </c>
      <c r="C45" s="213">
        <v>293.98700000000002</v>
      </c>
      <c r="D45" s="213">
        <v>1700.7370000000001</v>
      </c>
      <c r="E45" s="213">
        <v>807.62599999999998</v>
      </c>
      <c r="F45" s="213">
        <v>466.90699999999998</v>
      </c>
      <c r="G45" s="213">
        <v>343.81400000000002</v>
      </c>
      <c r="H45" s="213">
        <v>82.39</v>
      </c>
      <c r="I45" s="213">
        <v>409.214</v>
      </c>
      <c r="J45" s="213">
        <v>72.692999999999998</v>
      </c>
      <c r="K45" s="213">
        <f t="shared" si="0"/>
        <v>153.79700000000003</v>
      </c>
      <c r="L45" s="213">
        <v>43.377000000000002</v>
      </c>
      <c r="M45" s="213">
        <v>51.713999999999999</v>
      </c>
      <c r="N45" s="213">
        <v>58.706000000000003</v>
      </c>
      <c r="O45" s="61">
        <v>2406.6439999999998</v>
      </c>
      <c r="P45" s="214">
        <f t="shared" si="1"/>
        <v>2.7059999999996762</v>
      </c>
      <c r="Q45" s="85">
        <f t="shared" si="2"/>
        <v>1.1256529910503832E-3</v>
      </c>
    </row>
    <row r="46" spans="1:17" ht="12.75" customHeight="1">
      <c r="A46" s="199">
        <v>2009</v>
      </c>
      <c r="B46" s="213">
        <v>2495.8420000000001</v>
      </c>
      <c r="C46" s="213">
        <v>294.43</v>
      </c>
      <c r="D46" s="213">
        <v>1793.2809999999999</v>
      </c>
      <c r="E46" s="213">
        <v>828.81600000000003</v>
      </c>
      <c r="F46" s="213">
        <v>499.77100000000002</v>
      </c>
      <c r="G46" s="213">
        <v>374.43299999999999</v>
      </c>
      <c r="H46" s="213">
        <v>90.260999999999996</v>
      </c>
      <c r="I46" s="213">
        <v>408.13099999999997</v>
      </c>
      <c r="J46" s="213">
        <v>76.231999999999999</v>
      </c>
      <c r="K46" s="213">
        <f t="shared" si="0"/>
        <v>146.298</v>
      </c>
      <c r="L46" s="213">
        <v>45.677</v>
      </c>
      <c r="M46" s="213">
        <v>46.555</v>
      </c>
      <c r="N46" s="213">
        <v>54.066000000000003</v>
      </c>
      <c r="O46" s="61">
        <v>2501.1709999999998</v>
      </c>
      <c r="P46" s="214">
        <f t="shared" si="1"/>
        <v>5.3289999999997235</v>
      </c>
      <c r="Q46" s="85">
        <f t="shared" si="2"/>
        <v>2.1351511834482003E-3</v>
      </c>
    </row>
    <row r="47" spans="1:17" ht="18" customHeight="1">
      <c r="A47" s="199">
        <v>2010</v>
      </c>
      <c r="B47" s="213">
        <v>2593.6439999999998</v>
      </c>
      <c r="C47" s="213">
        <v>299.69499999999999</v>
      </c>
      <c r="D47" s="213">
        <v>1870.7929999999999</v>
      </c>
      <c r="E47" s="213">
        <v>848.70100000000002</v>
      </c>
      <c r="F47" s="213">
        <v>524.55100000000004</v>
      </c>
      <c r="G47" s="213">
        <v>401.41800000000001</v>
      </c>
      <c r="H47" s="213">
        <v>96.123000000000005</v>
      </c>
      <c r="I47" s="213">
        <v>423.15600000000001</v>
      </c>
      <c r="J47" s="213">
        <v>82.489000000000004</v>
      </c>
      <c r="K47" s="213">
        <f t="shared" si="0"/>
        <v>149.04400000000001</v>
      </c>
      <c r="L47" s="213">
        <v>49.267000000000003</v>
      </c>
      <c r="M47" s="213">
        <v>41.136000000000003</v>
      </c>
      <c r="N47" s="213">
        <v>58.640999999999998</v>
      </c>
      <c r="O47" s="61">
        <v>2599.951</v>
      </c>
      <c r="P47" s="214">
        <f t="shared" si="1"/>
        <v>6.3070000000002437</v>
      </c>
      <c r="Q47" s="85">
        <f t="shared" si="2"/>
        <v>2.4317138358233605E-3</v>
      </c>
    </row>
    <row r="48" spans="1:17" ht="12.75" customHeight="1">
      <c r="A48" s="199">
        <v>2011</v>
      </c>
      <c r="B48" s="213">
        <v>2695.047</v>
      </c>
      <c r="C48" s="213">
        <v>304.40800000000002</v>
      </c>
      <c r="D48" s="213">
        <v>1953.44</v>
      </c>
      <c r="E48" s="213">
        <v>864.39599999999996</v>
      </c>
      <c r="F48" s="213">
        <v>557.846</v>
      </c>
      <c r="G48" s="213">
        <v>428.71199999999999</v>
      </c>
      <c r="H48" s="213">
        <v>102.486</v>
      </c>
      <c r="I48" s="213">
        <v>437.19900000000001</v>
      </c>
      <c r="J48" s="213">
        <v>86.688999999999993</v>
      </c>
      <c r="K48" s="213">
        <f t="shared" si="0"/>
        <v>151.87</v>
      </c>
      <c r="L48" s="213">
        <v>50.171999999999997</v>
      </c>
      <c r="M48" s="213">
        <v>40.207000000000001</v>
      </c>
      <c r="N48" s="213">
        <v>61.491</v>
      </c>
      <c r="O48" s="61">
        <v>2700.739</v>
      </c>
      <c r="P48" s="214">
        <f t="shared" si="1"/>
        <v>5.6920000000000073</v>
      </c>
      <c r="Q48" s="85">
        <f t="shared" si="2"/>
        <v>2.1120225361561441E-3</v>
      </c>
    </row>
    <row r="49" spans="1:25" ht="12.75" customHeight="1">
      <c r="A49" s="199">
        <v>2012</v>
      </c>
      <c r="B49" s="213">
        <v>2809.0189999999998</v>
      </c>
      <c r="C49" s="213">
        <v>312.14299999999997</v>
      </c>
      <c r="D49" s="213">
        <v>2046.0930000000001</v>
      </c>
      <c r="E49" s="213">
        <v>888.63499999999999</v>
      </c>
      <c r="F49" s="213">
        <v>590.80200000000002</v>
      </c>
      <c r="G49" s="213">
        <v>458.91899999999998</v>
      </c>
      <c r="H49" s="213">
        <v>107.73699999999999</v>
      </c>
      <c r="I49" s="213">
        <v>450.78399999999999</v>
      </c>
      <c r="J49" s="213">
        <v>91.049000000000007</v>
      </c>
      <c r="K49" s="213">
        <f t="shared" si="0"/>
        <v>153.739</v>
      </c>
      <c r="L49" s="213">
        <v>48.689</v>
      </c>
      <c r="M49" s="213">
        <v>40.722000000000001</v>
      </c>
      <c r="N49" s="213">
        <v>64.328000000000003</v>
      </c>
      <c r="O49" s="82" t="s">
        <v>65</v>
      </c>
      <c r="P49" s="176" t="s">
        <v>66</v>
      </c>
      <c r="Q49" s="215" t="s">
        <v>66</v>
      </c>
    </row>
    <row r="50" spans="1:25" ht="12.75" customHeight="1">
      <c r="A50" s="199">
        <v>2013</v>
      </c>
      <c r="B50" s="213">
        <v>2915.48</v>
      </c>
      <c r="C50" s="213">
        <v>322.69</v>
      </c>
      <c r="D50" s="213">
        <v>2127.5050000000001</v>
      </c>
      <c r="E50" s="213">
        <v>925.15499999999997</v>
      </c>
      <c r="F50" s="213">
        <v>598.39499999999998</v>
      </c>
      <c r="G50" s="213">
        <v>490.98</v>
      </c>
      <c r="H50" s="213">
        <v>112.97499999999999</v>
      </c>
      <c r="I50" s="213">
        <v>465.28500000000003</v>
      </c>
      <c r="J50" s="213">
        <v>95.275999999999996</v>
      </c>
      <c r="K50" s="213">
        <f t="shared" si="0"/>
        <v>157.709</v>
      </c>
      <c r="L50" s="213">
        <v>48.634</v>
      </c>
      <c r="M50" s="213">
        <v>41.750999999999998</v>
      </c>
      <c r="N50" s="213">
        <v>67.323999999999998</v>
      </c>
      <c r="O50" s="82" t="s">
        <v>65</v>
      </c>
      <c r="P50" s="176" t="s">
        <v>66</v>
      </c>
      <c r="Q50" s="215" t="s">
        <v>66</v>
      </c>
    </row>
    <row r="51" spans="1:25" ht="12.75" customHeight="1">
      <c r="A51" s="199">
        <v>2014</v>
      </c>
      <c r="B51" s="213">
        <v>3130.1509999999998</v>
      </c>
      <c r="C51" s="213">
        <v>317.73899999999998</v>
      </c>
      <c r="D51" s="213">
        <v>2331.6489999999999</v>
      </c>
      <c r="E51" s="213">
        <v>997.81</v>
      </c>
      <c r="F51" s="213">
        <v>635.048</v>
      </c>
      <c r="G51" s="213">
        <v>579.24599999999998</v>
      </c>
      <c r="H51" s="213">
        <v>119.545</v>
      </c>
      <c r="I51" s="213">
        <v>480.76299999999998</v>
      </c>
      <c r="J51" s="213">
        <v>100.282</v>
      </c>
      <c r="K51" s="213">
        <f t="shared" si="0"/>
        <v>165.292</v>
      </c>
      <c r="L51" s="213">
        <v>50.765999999999998</v>
      </c>
      <c r="M51" s="213">
        <v>43.692</v>
      </c>
      <c r="N51" s="213">
        <v>70.834000000000003</v>
      </c>
      <c r="O51" s="82" t="s">
        <v>65</v>
      </c>
      <c r="P51" s="176" t="s">
        <v>66</v>
      </c>
      <c r="Q51" s="215" t="s">
        <v>66</v>
      </c>
    </row>
    <row r="52" spans="1:25" ht="12.75" customHeight="1">
      <c r="A52" s="199">
        <v>2015</v>
      </c>
      <c r="B52" s="213">
        <v>3307.6039999999998</v>
      </c>
      <c r="C52" s="213">
        <v>328.93700000000001</v>
      </c>
      <c r="D52" s="213">
        <v>2474.6039999999998</v>
      </c>
      <c r="E52" s="213">
        <v>1060.3920000000001</v>
      </c>
      <c r="F52" s="213">
        <v>666.452</v>
      </c>
      <c r="G52" s="213">
        <v>620.95100000000002</v>
      </c>
      <c r="H52" s="213">
        <v>126.809</v>
      </c>
      <c r="I52" s="213">
        <v>504.06299999999999</v>
      </c>
      <c r="J52" s="213">
        <v>105.709</v>
      </c>
      <c r="K52" s="213">
        <f t="shared" si="0"/>
        <v>174.87700000000001</v>
      </c>
      <c r="L52" s="213">
        <v>53.676000000000002</v>
      </c>
      <c r="M52" s="213">
        <v>46.366999999999997</v>
      </c>
      <c r="N52" s="213">
        <v>74.834000000000003</v>
      </c>
      <c r="O52" s="82" t="s">
        <v>65</v>
      </c>
      <c r="P52" s="176" t="s">
        <v>66</v>
      </c>
      <c r="Q52" s="215" t="s">
        <v>66</v>
      </c>
    </row>
    <row r="53" spans="1:25" ht="12.75" customHeight="1">
      <c r="A53" s="199">
        <v>2016</v>
      </c>
      <c r="B53" s="213">
        <v>3514.4369999999999</v>
      </c>
      <c r="C53" s="213">
        <v>339.98099999999999</v>
      </c>
      <c r="D53" s="213">
        <v>2642.7139999999999</v>
      </c>
      <c r="E53" s="213">
        <v>1130.47</v>
      </c>
      <c r="F53" s="213">
        <v>707.04899999999998</v>
      </c>
      <c r="G53" s="213">
        <v>672.44799999999998</v>
      </c>
      <c r="H53" s="213">
        <v>132.74600000000001</v>
      </c>
      <c r="I53" s="213">
        <v>531.74199999999996</v>
      </c>
      <c r="J53" s="213">
        <v>111.58499999999999</v>
      </c>
      <c r="K53" s="213">
        <f t="shared" si="0"/>
        <v>185.19800000000001</v>
      </c>
      <c r="L53" s="213">
        <v>57.113</v>
      </c>
      <c r="M53" s="213">
        <v>48.817</v>
      </c>
      <c r="N53" s="213">
        <v>79.268000000000001</v>
      </c>
      <c r="O53" s="82" t="s">
        <v>65</v>
      </c>
      <c r="P53" s="176" t="s">
        <v>66</v>
      </c>
      <c r="Q53" s="215" t="s">
        <v>66</v>
      </c>
    </row>
    <row r="54" spans="1:25" ht="12.75" customHeight="1">
      <c r="A54" s="199">
        <v>2017</v>
      </c>
      <c r="B54" s="213">
        <v>3723.2869999999998</v>
      </c>
      <c r="C54" s="213">
        <v>359.38299999999998</v>
      </c>
      <c r="D54" s="213">
        <v>2799.317</v>
      </c>
      <c r="E54" s="213">
        <v>1190.973</v>
      </c>
      <c r="F54" s="213">
        <v>754.78899999999999</v>
      </c>
      <c r="G54" s="213">
        <v>719.44</v>
      </c>
      <c r="H54" s="213">
        <v>134.11500000000001</v>
      </c>
      <c r="I54" s="213">
        <v>564.58799999999997</v>
      </c>
      <c r="J54" s="213">
        <v>118.06399999999999</v>
      </c>
      <c r="K54" s="213">
        <f t="shared" si="0"/>
        <v>196.834</v>
      </c>
      <c r="L54" s="213">
        <v>60.866999999999997</v>
      </c>
      <c r="M54" s="213">
        <v>52.03</v>
      </c>
      <c r="N54" s="213">
        <v>83.936999999999998</v>
      </c>
      <c r="O54" s="82" t="s">
        <v>65</v>
      </c>
      <c r="P54" s="176" t="s">
        <v>66</v>
      </c>
      <c r="Q54" s="215" t="s">
        <v>66</v>
      </c>
    </row>
    <row r="55" spans="1:25" ht="12.75" customHeight="1">
      <c r="A55" s="199">
        <v>2018</v>
      </c>
      <c r="B55" s="213">
        <v>3952.2860000000001</v>
      </c>
      <c r="C55" s="213">
        <v>381.63400000000001</v>
      </c>
      <c r="D55" s="213">
        <v>2971.828</v>
      </c>
      <c r="E55" s="213">
        <v>1252.537</v>
      </c>
      <c r="F55" s="213">
        <v>809.11300000000006</v>
      </c>
      <c r="G55" s="213">
        <v>769.87099999999998</v>
      </c>
      <c r="H55" s="213">
        <v>140.30699999999999</v>
      </c>
      <c r="I55" s="213">
        <v>598.82399999999996</v>
      </c>
      <c r="J55" s="213">
        <v>125.23</v>
      </c>
      <c r="K55" s="213">
        <f t="shared" si="0"/>
        <v>209.30700000000002</v>
      </c>
      <c r="L55" s="213">
        <v>64.832999999999998</v>
      </c>
      <c r="M55" s="213">
        <v>55.451999999999998</v>
      </c>
      <c r="N55" s="213">
        <v>89.022000000000006</v>
      </c>
      <c r="O55" s="82" t="s">
        <v>65</v>
      </c>
      <c r="P55" s="176" t="s">
        <v>66</v>
      </c>
      <c r="Q55" s="215" t="s">
        <v>66</v>
      </c>
    </row>
    <row r="56" spans="1:25" ht="12.75" customHeight="1">
      <c r="A56" s="199">
        <v>2019</v>
      </c>
      <c r="B56" s="213">
        <v>4207.2709999999997</v>
      </c>
      <c r="C56" s="213">
        <v>402.947</v>
      </c>
      <c r="D56" s="213">
        <v>3172.085</v>
      </c>
      <c r="E56" s="213">
        <v>1329.249</v>
      </c>
      <c r="F56" s="213">
        <v>867.87699999999995</v>
      </c>
      <c r="G56" s="213">
        <v>825.81399999999996</v>
      </c>
      <c r="H56" s="213">
        <v>149.14500000000001</v>
      </c>
      <c r="I56" s="213">
        <v>632.23900000000003</v>
      </c>
      <c r="J56" s="213">
        <v>132.738</v>
      </c>
      <c r="K56" s="213">
        <f t="shared" si="0"/>
        <v>221.92500000000001</v>
      </c>
      <c r="L56" s="213">
        <v>68.945999999999998</v>
      </c>
      <c r="M56" s="213">
        <v>58.8</v>
      </c>
      <c r="N56" s="213">
        <v>94.179000000000002</v>
      </c>
      <c r="O56" s="82" t="s">
        <v>65</v>
      </c>
      <c r="P56" s="176" t="s">
        <v>66</v>
      </c>
      <c r="Q56" s="215" t="s">
        <v>66</v>
      </c>
    </row>
    <row r="57" spans="1:25" ht="12.75" customHeight="1">
      <c r="A57" s="199">
        <v>2020</v>
      </c>
      <c r="B57" s="213">
        <v>4487.2250000000004</v>
      </c>
      <c r="C57" s="213">
        <v>425.96300000000002</v>
      </c>
      <c r="D57" s="213">
        <v>3394.2809999999999</v>
      </c>
      <c r="E57" s="213">
        <v>1412.0250000000001</v>
      </c>
      <c r="F57" s="213">
        <v>934.90300000000002</v>
      </c>
      <c r="G57" s="213">
        <v>888.59500000000003</v>
      </c>
      <c r="H57" s="213">
        <v>158.75899999999999</v>
      </c>
      <c r="I57" s="213">
        <v>666.98099999999999</v>
      </c>
      <c r="J57" s="213">
        <v>140.791</v>
      </c>
      <c r="K57" s="213">
        <f t="shared" si="0"/>
        <v>234.864</v>
      </c>
      <c r="L57" s="213">
        <v>73.272000000000006</v>
      </c>
      <c r="M57" s="213">
        <v>62.11</v>
      </c>
      <c r="N57" s="213">
        <v>99.481999999999999</v>
      </c>
      <c r="O57" s="82" t="s">
        <v>65</v>
      </c>
      <c r="P57" s="176" t="s">
        <v>66</v>
      </c>
      <c r="Q57" s="215" t="s">
        <v>66</v>
      </c>
    </row>
    <row r="58" spans="1:25" ht="12.75" customHeight="1">
      <c r="A58" s="199">
        <v>2021</v>
      </c>
      <c r="B58" s="213">
        <v>4780.9740000000002</v>
      </c>
      <c r="C58" s="213">
        <v>449.21199999999999</v>
      </c>
      <c r="D58" s="213">
        <v>3628.529</v>
      </c>
      <c r="E58" s="213">
        <v>1495.366</v>
      </c>
      <c r="F58" s="213">
        <v>1006.91</v>
      </c>
      <c r="G58" s="213">
        <v>957.36500000000001</v>
      </c>
      <c r="H58" s="213">
        <v>168.88800000000001</v>
      </c>
      <c r="I58" s="213">
        <v>703.23199999999997</v>
      </c>
      <c r="J58" s="213">
        <v>149.42699999999999</v>
      </c>
      <c r="K58" s="213">
        <f t="shared" si="0"/>
        <v>248.22500000000002</v>
      </c>
      <c r="L58" s="213">
        <v>77.837000000000003</v>
      </c>
      <c r="M58" s="213">
        <v>65.603999999999999</v>
      </c>
      <c r="N58" s="213">
        <v>104.78400000000001</v>
      </c>
      <c r="O58" s="82" t="s">
        <v>65</v>
      </c>
      <c r="P58" s="176" t="s">
        <v>66</v>
      </c>
      <c r="Q58" s="215" t="s">
        <v>66</v>
      </c>
    </row>
    <row r="59" spans="1:25" ht="18" customHeight="1">
      <c r="A59" s="216" t="s">
        <v>23</v>
      </c>
      <c r="B59" s="217" t="s">
        <v>24</v>
      </c>
      <c r="C59" s="218"/>
      <c r="D59" s="218"/>
      <c r="E59" s="218"/>
      <c r="F59" s="218"/>
      <c r="G59" s="218"/>
      <c r="H59" s="218"/>
      <c r="I59" s="218"/>
      <c r="J59" s="218"/>
      <c r="K59" s="218"/>
      <c r="L59" s="218"/>
      <c r="M59" s="218"/>
      <c r="N59" s="219"/>
      <c r="O59" s="160" t="s">
        <v>25</v>
      </c>
      <c r="P59" s="160" t="s">
        <v>26</v>
      </c>
      <c r="Q59" s="173" t="s">
        <v>27</v>
      </c>
    </row>
    <row r="60" spans="1:25" ht="15.75" customHeight="1">
      <c r="A60" s="204" t="s">
        <v>36</v>
      </c>
      <c r="B60" s="163">
        <v>41505</v>
      </c>
      <c r="C60" s="163"/>
      <c r="D60" s="163"/>
      <c r="E60" s="163"/>
      <c r="F60" s="163"/>
      <c r="G60" s="163"/>
      <c r="H60" s="163"/>
    </row>
    <row r="61" spans="1:25" s="206" customFormat="1" ht="24.75" customHeight="1">
      <c r="A61" s="175" t="s">
        <v>37</v>
      </c>
      <c r="B61" s="220" t="s">
        <v>371</v>
      </c>
      <c r="C61" s="220"/>
      <c r="D61" s="220"/>
      <c r="E61" s="220"/>
      <c r="F61" s="220"/>
      <c r="G61" s="220"/>
      <c r="H61" s="220"/>
      <c r="I61" s="220"/>
      <c r="J61" s="220"/>
      <c r="K61" s="220"/>
      <c r="L61" s="220"/>
      <c r="M61" s="220"/>
      <c r="N61" s="220"/>
      <c r="O61" s="220"/>
      <c r="P61" s="220"/>
      <c r="Q61" s="220"/>
    </row>
    <row r="62" spans="1:25" s="38" customFormat="1" ht="19.5" customHeight="1">
      <c r="A62" s="43" t="s">
        <v>307</v>
      </c>
      <c r="B62" s="43"/>
      <c r="C62" s="43"/>
      <c r="D62" s="43"/>
      <c r="E62" s="43"/>
      <c r="F62" s="43"/>
      <c r="G62" s="43"/>
      <c r="H62" s="43"/>
      <c r="I62" s="164"/>
      <c r="J62" s="164"/>
      <c r="K62" s="37"/>
      <c r="L62" s="37"/>
      <c r="M62" s="37"/>
      <c r="N62" s="37"/>
      <c r="O62" s="37"/>
      <c r="P62" s="37"/>
      <c r="Q62" s="37"/>
      <c r="T62" s="153"/>
    </row>
    <row r="63" spans="1:25" s="38" customFormat="1" ht="19.5" customHeight="1">
      <c r="A63" s="165" t="str">
        <f>B59</f>
        <v>[A]</v>
      </c>
      <c r="B63" s="40" t="s">
        <v>372</v>
      </c>
      <c r="C63" s="40"/>
      <c r="D63" s="40"/>
      <c r="E63" s="40"/>
      <c r="F63" s="40"/>
      <c r="G63" s="40"/>
      <c r="H63" s="40"/>
      <c r="I63" s="40"/>
      <c r="J63" s="40"/>
      <c r="K63" s="40"/>
      <c r="L63" s="40"/>
      <c r="M63" s="40"/>
      <c r="N63" s="40"/>
      <c r="O63" s="40"/>
      <c r="P63" s="40"/>
      <c r="Q63" s="40"/>
      <c r="T63" s="153"/>
    </row>
    <row r="64" spans="1:25" s="38" customFormat="1" ht="18" customHeight="1">
      <c r="A64" s="165" t="str">
        <f>O59</f>
        <v>[B]</v>
      </c>
      <c r="B64" s="40" t="s">
        <v>373</v>
      </c>
      <c r="C64" s="40"/>
      <c r="D64" s="40"/>
      <c r="E64" s="40"/>
      <c r="F64" s="40"/>
      <c r="G64" s="40"/>
      <c r="H64" s="40"/>
      <c r="I64" s="40"/>
      <c r="J64" s="40"/>
      <c r="K64" s="40"/>
      <c r="L64" s="40"/>
      <c r="M64" s="40"/>
      <c r="N64" s="40"/>
      <c r="O64" s="40"/>
      <c r="P64" s="40"/>
      <c r="Q64" s="40"/>
      <c r="Y64" s="113"/>
    </row>
    <row r="65" spans="1:25" s="38" customFormat="1" ht="18" customHeight="1">
      <c r="A65" s="165" t="str">
        <f>P59</f>
        <v>[C]</v>
      </c>
      <c r="B65" s="40" t="s">
        <v>374</v>
      </c>
      <c r="C65" s="40"/>
      <c r="D65" s="40"/>
      <c r="E65" s="40"/>
      <c r="F65" s="40"/>
      <c r="G65" s="40"/>
      <c r="H65" s="40"/>
      <c r="I65" s="40"/>
      <c r="J65" s="40"/>
      <c r="K65" s="40"/>
      <c r="L65" s="40"/>
      <c r="M65" s="40"/>
      <c r="N65" s="40"/>
      <c r="O65" s="40"/>
      <c r="P65" s="40"/>
      <c r="Q65" s="40"/>
      <c r="Y65" s="113"/>
    </row>
    <row r="66" spans="1:25" s="38" customFormat="1" ht="18" customHeight="1">
      <c r="A66" s="165" t="str">
        <f>Q59</f>
        <v>[D]</v>
      </c>
      <c r="B66" s="40" t="s">
        <v>375</v>
      </c>
      <c r="C66" s="40"/>
      <c r="D66" s="40"/>
      <c r="E66" s="40"/>
      <c r="F66" s="40"/>
      <c r="G66" s="40"/>
      <c r="H66" s="40"/>
      <c r="I66" s="40"/>
      <c r="J66" s="40"/>
      <c r="K66" s="40"/>
      <c r="L66" s="40"/>
      <c r="M66" s="40"/>
      <c r="N66" s="40"/>
      <c r="O66" s="40"/>
      <c r="P66" s="40"/>
      <c r="Q66" s="40"/>
      <c r="Y66" s="113"/>
    </row>
    <row r="67" spans="1:25" s="206" customFormat="1" ht="19.5" customHeight="1">
      <c r="A67" s="207" t="s">
        <v>311</v>
      </c>
      <c r="B67" s="207"/>
      <c r="C67" s="207"/>
      <c r="D67" s="207"/>
      <c r="E67" s="207"/>
      <c r="F67" s="207"/>
      <c r="G67" s="207"/>
      <c r="H67" s="207"/>
      <c r="I67" s="208"/>
      <c r="J67" s="208"/>
      <c r="K67" s="208"/>
      <c r="L67" s="208"/>
      <c r="M67" s="208"/>
      <c r="N67" s="208"/>
      <c r="O67" s="208"/>
      <c r="P67" s="208"/>
      <c r="Q67" s="208"/>
    </row>
    <row r="68" spans="1:25" s="221" customFormat="1" ht="24.75" customHeight="1">
      <c r="A68" s="178" t="s">
        <v>111</v>
      </c>
      <c r="B68" s="88" t="s">
        <v>376</v>
      </c>
      <c r="C68" s="88"/>
      <c r="D68" s="88"/>
      <c r="E68" s="88"/>
      <c r="F68" s="88"/>
      <c r="G68" s="88"/>
      <c r="H68" s="88"/>
      <c r="I68" s="88"/>
      <c r="J68" s="88"/>
      <c r="K68" s="88"/>
      <c r="L68" s="88"/>
      <c r="M68" s="88"/>
      <c r="N68" s="88"/>
      <c r="O68" s="88"/>
      <c r="P68" s="88"/>
      <c r="Q68" s="88"/>
    </row>
    <row r="69" spans="1:25" s="180" customFormat="1" ht="36" customHeight="1">
      <c r="A69" s="178" t="s">
        <v>113</v>
      </c>
      <c r="B69" s="88" t="s">
        <v>132</v>
      </c>
      <c r="C69" s="88"/>
      <c r="D69" s="88"/>
      <c r="E69" s="88"/>
      <c r="F69" s="88"/>
      <c r="G69" s="88"/>
      <c r="H69" s="88"/>
      <c r="I69" s="88"/>
      <c r="J69" s="88"/>
      <c r="K69" s="88"/>
      <c r="L69" s="88"/>
      <c r="M69" s="88"/>
      <c r="N69" s="88"/>
      <c r="O69" s="88"/>
      <c r="P69" s="88"/>
      <c r="Q69" s="88"/>
    </row>
    <row r="70" spans="1:25" s="221" customFormat="1" ht="36" customHeight="1">
      <c r="A70" s="178" t="s">
        <v>115</v>
      </c>
      <c r="B70" s="88" t="s">
        <v>130</v>
      </c>
      <c r="C70" s="88"/>
      <c r="D70" s="88"/>
      <c r="E70" s="88"/>
      <c r="F70" s="88"/>
      <c r="G70" s="88"/>
      <c r="H70" s="88"/>
      <c r="I70" s="88"/>
      <c r="J70" s="88"/>
      <c r="K70" s="88"/>
      <c r="L70" s="88"/>
      <c r="M70" s="88"/>
      <c r="N70" s="88"/>
      <c r="O70" s="88"/>
      <c r="P70" s="88"/>
      <c r="Q70" s="88"/>
    </row>
    <row r="71" spans="1:25" s="210" customFormat="1" ht="18" customHeight="1">
      <c r="A71" s="209" t="s">
        <v>313</v>
      </c>
      <c r="B71" s="209"/>
      <c r="C71" s="209"/>
      <c r="D71" s="209"/>
      <c r="E71" s="209"/>
      <c r="F71" s="209"/>
      <c r="G71" s="209"/>
      <c r="H71" s="209"/>
    </row>
    <row r="72" spans="1:25" s="180" customFormat="1" ht="36" customHeight="1"/>
    <row r="73" spans="1:25" s="210" customFormat="1">
      <c r="A73" s="183"/>
    </row>
    <row r="74" spans="1:25" s="210" customFormat="1">
      <c r="A74" s="211"/>
    </row>
    <row r="75" spans="1:25" s="210" customFormat="1">
      <c r="A75" s="211"/>
    </row>
    <row r="76" spans="1:25" s="210" customFormat="1">
      <c r="A76" s="211"/>
    </row>
    <row r="77" spans="1:25" s="210" customFormat="1">
      <c r="A77" s="211"/>
    </row>
    <row r="78" spans="1:25" s="210" customFormat="1">
      <c r="A78" s="211"/>
    </row>
    <row r="79" spans="1:25" s="210" customFormat="1">
      <c r="A79" s="211"/>
    </row>
    <row r="80" spans="1:25" s="210" customFormat="1">
      <c r="A80" s="211"/>
    </row>
    <row r="81" spans="1:1" s="210" customFormat="1">
      <c r="A81" s="211"/>
    </row>
    <row r="82" spans="1:1" s="210" customFormat="1">
      <c r="A82" s="211"/>
    </row>
    <row r="83" spans="1:1" s="210" customFormat="1">
      <c r="A83" s="211"/>
    </row>
    <row r="84" spans="1:1" s="210" customFormat="1">
      <c r="A84" s="211"/>
    </row>
    <row r="85" spans="1:1" s="210" customFormat="1">
      <c r="A85" s="211"/>
    </row>
    <row r="86" spans="1:1" s="210" customFormat="1">
      <c r="A86" s="211"/>
    </row>
    <row r="87" spans="1:1" s="210" customFormat="1">
      <c r="A87" s="211"/>
    </row>
    <row r="88" spans="1:1" s="210" customFormat="1">
      <c r="A88" s="211"/>
    </row>
  </sheetData>
  <mergeCells count="35">
    <mergeCell ref="B69:Q69"/>
    <mergeCell ref="B70:Q70"/>
    <mergeCell ref="A71:H71"/>
    <mergeCell ref="B63:Q63"/>
    <mergeCell ref="B64:Q64"/>
    <mergeCell ref="B65:Q65"/>
    <mergeCell ref="B66:Q66"/>
    <mergeCell ref="A67:H67"/>
    <mergeCell ref="B68:Q68"/>
    <mergeCell ref="P5:P6"/>
    <mergeCell ref="Q5:Q6"/>
    <mergeCell ref="B59:N59"/>
    <mergeCell ref="B60:H60"/>
    <mergeCell ref="B61:Q61"/>
    <mergeCell ref="A62:H62"/>
    <mergeCell ref="P3:Q4"/>
    <mergeCell ref="D5:D6"/>
    <mergeCell ref="E5:E6"/>
    <mergeCell ref="F5:F6"/>
    <mergeCell ref="G5:G6"/>
    <mergeCell ref="H5:H6"/>
    <mergeCell ref="K5:K6"/>
    <mergeCell ref="L5:L6"/>
    <mergeCell ref="M5:M6"/>
    <mergeCell ref="N5:N6"/>
    <mergeCell ref="A1:Q1"/>
    <mergeCell ref="A2:Q2"/>
    <mergeCell ref="A3:A6"/>
    <mergeCell ref="B3:B6"/>
    <mergeCell ref="C3:C6"/>
    <mergeCell ref="D3:H4"/>
    <mergeCell ref="I3:I6"/>
    <mergeCell ref="J3:J6"/>
    <mergeCell ref="K3:N4"/>
    <mergeCell ref="O3:O6"/>
  </mergeCells>
  <printOptions horizontalCentered="1"/>
  <pageMargins left="0.7" right="0.7" top="0.75" bottom="0.75" header="0.3" footer="0.3"/>
  <pageSetup scale="80" fitToHeight="2" orientation="landscape" horizontalDpi="300" r:id="rId1"/>
  <rowBreaks count="1" manualBreakCount="1">
    <brk id="16" max="1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61"/>
  <sheetViews>
    <sheetView view="pageBreakPreview" zoomScaleNormal="100" zoomScaleSheetLayoutView="100" workbookViewId="0">
      <pane xSplit="2" ySplit="6" topLeftCell="C152" activePane="bottomRight" state="frozen"/>
      <selection activeCell="L9" sqref="L9"/>
      <selection pane="topRight" activeCell="L9" sqref="L9"/>
      <selection pane="bottomLeft" activeCell="L9" sqref="L9"/>
      <selection pane="bottomRight" activeCell="L9" sqref="L9"/>
    </sheetView>
  </sheetViews>
  <sheetFormatPr defaultRowHeight="15"/>
  <cols>
    <col min="1" max="1" width="6.7109375" style="212" customWidth="1"/>
    <col min="2" max="5" width="8.7109375" style="183" customWidth="1"/>
    <col min="6" max="6" width="7.7109375" style="183" customWidth="1"/>
    <col min="7" max="9" width="8.7109375" style="183" customWidth="1"/>
    <col min="10" max="35" width="7.7109375" style="183" customWidth="1"/>
    <col min="36" max="36" width="9.140625" style="212"/>
    <col min="37" max="16384" width="9.140625" style="183"/>
  </cols>
  <sheetData>
    <row r="1" spans="1:35" ht="18" customHeight="1">
      <c r="A1" s="182" t="s">
        <v>377</v>
      </c>
      <c r="B1" s="182"/>
      <c r="C1" s="182"/>
      <c r="D1" s="182"/>
      <c r="E1" s="182"/>
      <c r="F1" s="182"/>
      <c r="G1" s="182"/>
      <c r="H1" s="182"/>
      <c r="I1" s="182"/>
      <c r="J1" s="182"/>
      <c r="K1" s="182"/>
      <c r="L1" s="182"/>
      <c r="M1" s="182"/>
      <c r="N1" s="182"/>
      <c r="O1" s="182"/>
      <c r="P1" s="182"/>
      <c r="Q1" s="182"/>
      <c r="R1" s="182"/>
      <c r="S1" s="182"/>
      <c r="T1" s="222"/>
      <c r="U1" s="222"/>
      <c r="V1" s="222"/>
      <c r="W1" s="222"/>
      <c r="X1" s="222"/>
      <c r="Y1" s="222"/>
      <c r="Z1" s="222"/>
      <c r="AA1" s="222"/>
      <c r="AB1" s="222"/>
      <c r="AC1" s="222"/>
    </row>
    <row r="2" spans="1:35" ht="15" customHeight="1" thickBot="1">
      <c r="A2" s="184" t="s">
        <v>267</v>
      </c>
      <c r="B2" s="184"/>
      <c r="C2" s="184"/>
      <c r="D2" s="184"/>
      <c r="E2" s="184"/>
      <c r="F2" s="184"/>
      <c r="G2" s="184"/>
      <c r="H2" s="184"/>
      <c r="I2" s="184"/>
      <c r="J2" s="184"/>
      <c r="K2" s="184"/>
      <c r="L2" s="184"/>
      <c r="M2" s="184"/>
      <c r="N2" s="184"/>
      <c r="O2" s="184"/>
      <c r="P2" s="184"/>
      <c r="Q2" s="184"/>
      <c r="R2" s="184"/>
      <c r="S2" s="184"/>
      <c r="T2" s="223"/>
      <c r="U2" s="223"/>
      <c r="V2" s="223"/>
      <c r="W2" s="223"/>
      <c r="X2" s="223"/>
      <c r="Y2" s="223"/>
      <c r="Z2" s="223"/>
      <c r="AA2" s="223"/>
      <c r="AB2" s="223"/>
      <c r="AC2" s="223"/>
    </row>
    <row r="3" spans="1:35" ht="15.75" customHeight="1" thickTop="1">
      <c r="A3" s="185" t="s">
        <v>268</v>
      </c>
      <c r="B3" s="187" t="s">
        <v>378</v>
      </c>
      <c r="C3" s="188"/>
      <c r="D3" s="188"/>
      <c r="E3" s="185"/>
      <c r="F3" s="186" t="s">
        <v>270</v>
      </c>
      <c r="G3" s="187" t="s">
        <v>271</v>
      </c>
      <c r="H3" s="188"/>
      <c r="I3" s="188"/>
      <c r="J3" s="188"/>
      <c r="K3" s="188"/>
      <c r="L3" s="188"/>
      <c r="M3" s="188"/>
      <c r="N3" s="188"/>
      <c r="O3" s="185"/>
      <c r="P3" s="187" t="s">
        <v>272</v>
      </c>
      <c r="Q3" s="188"/>
      <c r="R3" s="188"/>
      <c r="S3" s="188"/>
      <c r="T3" s="3" t="s">
        <v>273</v>
      </c>
      <c r="U3" s="2"/>
      <c r="V3" s="4"/>
      <c r="W3" s="187" t="s">
        <v>274</v>
      </c>
      <c r="X3" s="188"/>
      <c r="Y3" s="188"/>
      <c r="Z3" s="188"/>
      <c r="AA3" s="188"/>
      <c r="AB3" s="188"/>
      <c r="AC3" s="188"/>
      <c r="AD3" s="188"/>
      <c r="AE3" s="188"/>
      <c r="AF3" s="188"/>
      <c r="AG3" s="188"/>
      <c r="AH3" s="188"/>
      <c r="AI3" s="188"/>
    </row>
    <row r="4" spans="1:35" ht="12.75" customHeight="1">
      <c r="A4" s="189"/>
      <c r="B4" s="192"/>
      <c r="C4" s="193"/>
      <c r="D4" s="193"/>
      <c r="E4" s="194"/>
      <c r="F4" s="191"/>
      <c r="G4" s="192"/>
      <c r="H4" s="193"/>
      <c r="I4" s="193"/>
      <c r="J4" s="193"/>
      <c r="K4" s="193"/>
      <c r="L4" s="193"/>
      <c r="M4" s="193"/>
      <c r="N4" s="193"/>
      <c r="O4" s="194"/>
      <c r="P4" s="192"/>
      <c r="Q4" s="193"/>
      <c r="R4" s="193"/>
      <c r="S4" s="193"/>
      <c r="T4" s="9"/>
      <c r="U4" s="95"/>
      <c r="V4" s="10"/>
      <c r="W4" s="192"/>
      <c r="X4" s="193"/>
      <c r="Y4" s="193"/>
      <c r="Z4" s="193"/>
      <c r="AA4" s="193"/>
      <c r="AB4" s="193"/>
      <c r="AC4" s="193"/>
      <c r="AD4" s="193"/>
      <c r="AE4" s="193"/>
      <c r="AF4" s="193"/>
      <c r="AG4" s="193"/>
      <c r="AH4" s="193"/>
      <c r="AI4" s="193"/>
    </row>
    <row r="5" spans="1:35" ht="15.75" customHeight="1">
      <c r="A5" s="189"/>
      <c r="B5" s="191" t="s">
        <v>148</v>
      </c>
      <c r="C5" s="191" t="s">
        <v>300</v>
      </c>
      <c r="D5" s="191" t="s">
        <v>301</v>
      </c>
      <c r="E5" s="191" t="s">
        <v>379</v>
      </c>
      <c r="F5" s="191"/>
      <c r="G5" s="191" t="s">
        <v>148</v>
      </c>
      <c r="H5" s="191" t="s">
        <v>277</v>
      </c>
      <c r="I5" s="191" t="s">
        <v>278</v>
      </c>
      <c r="J5" s="192" t="s">
        <v>279</v>
      </c>
      <c r="K5" s="193"/>
      <c r="L5" s="194"/>
      <c r="M5" s="192" t="s">
        <v>370</v>
      </c>
      <c r="N5" s="193"/>
      <c r="O5" s="194"/>
      <c r="P5" s="195" t="s">
        <v>148</v>
      </c>
      <c r="Q5" s="195" t="s">
        <v>300</v>
      </c>
      <c r="R5" s="196" t="s">
        <v>301</v>
      </c>
      <c r="S5" s="196" t="s">
        <v>379</v>
      </c>
      <c r="T5" s="14" t="s">
        <v>148</v>
      </c>
      <c r="U5" s="14" t="s">
        <v>296</v>
      </c>
      <c r="V5" s="14" t="s">
        <v>297</v>
      </c>
      <c r="W5" s="195" t="s">
        <v>148</v>
      </c>
      <c r="X5" s="224" t="s">
        <v>360</v>
      </c>
      <c r="Y5" s="225"/>
      <c r="Z5" s="225"/>
      <c r="AA5" s="226"/>
      <c r="AB5" s="224" t="s">
        <v>298</v>
      </c>
      <c r="AC5" s="225"/>
      <c r="AD5" s="225"/>
      <c r="AE5" s="226"/>
      <c r="AF5" s="224" t="s">
        <v>299</v>
      </c>
      <c r="AG5" s="225"/>
      <c r="AH5" s="225"/>
      <c r="AI5" s="225"/>
    </row>
    <row r="6" spans="1:35" ht="41.25" customHeight="1">
      <c r="A6" s="194"/>
      <c r="B6" s="198"/>
      <c r="C6" s="198"/>
      <c r="D6" s="198"/>
      <c r="E6" s="198"/>
      <c r="F6" s="198"/>
      <c r="G6" s="198"/>
      <c r="H6" s="198"/>
      <c r="I6" s="198"/>
      <c r="J6" s="227" t="s">
        <v>148</v>
      </c>
      <c r="K6" s="227" t="s">
        <v>300</v>
      </c>
      <c r="L6" s="227" t="s">
        <v>301</v>
      </c>
      <c r="M6" s="227" t="s">
        <v>148</v>
      </c>
      <c r="N6" s="227" t="s">
        <v>300</v>
      </c>
      <c r="O6" s="227" t="s">
        <v>301</v>
      </c>
      <c r="P6" s="198"/>
      <c r="Q6" s="198"/>
      <c r="R6" s="192"/>
      <c r="S6" s="192"/>
      <c r="T6" s="18"/>
      <c r="U6" s="18"/>
      <c r="V6" s="18"/>
      <c r="W6" s="198"/>
      <c r="X6" s="227" t="s">
        <v>148</v>
      </c>
      <c r="Y6" s="227" t="s">
        <v>379</v>
      </c>
      <c r="Z6" s="227" t="s">
        <v>300</v>
      </c>
      <c r="AA6" s="227" t="s">
        <v>301</v>
      </c>
      <c r="AB6" s="227" t="s">
        <v>148</v>
      </c>
      <c r="AC6" s="227" t="s">
        <v>379</v>
      </c>
      <c r="AD6" s="227" t="s">
        <v>300</v>
      </c>
      <c r="AE6" s="227" t="s">
        <v>301</v>
      </c>
      <c r="AF6" s="227" t="s">
        <v>148</v>
      </c>
      <c r="AG6" s="227" t="s">
        <v>379</v>
      </c>
      <c r="AH6" s="227" t="s">
        <v>300</v>
      </c>
      <c r="AI6" s="228" t="s">
        <v>301</v>
      </c>
    </row>
    <row r="7" spans="1:35" ht="12.75" customHeight="1">
      <c r="A7" s="199">
        <v>1960</v>
      </c>
      <c r="B7" s="200">
        <f>'Table 1.1'!B37</f>
        <v>27359</v>
      </c>
      <c r="C7" s="200">
        <f>I7+K7+N7+Q7+U7+Z7+AD7+AH7</f>
        <v>2814.9049999999997</v>
      </c>
      <c r="D7" s="200">
        <f>L7+O7+R7+V7+AA7+AE7+AI7</f>
        <v>3856.0950000000003</v>
      </c>
      <c r="E7" s="200">
        <f>B7-C7-D7</f>
        <v>20688</v>
      </c>
      <c r="F7" s="200">
        <f>'Table 1.1.3'!C7</f>
        <v>13051</v>
      </c>
      <c r="G7" s="200">
        <f>'Table 1.1.3'!D7</f>
        <v>7464</v>
      </c>
      <c r="H7" s="200">
        <f>'Table 1.1.3'!E7</f>
        <v>5779</v>
      </c>
      <c r="I7" s="200">
        <f>'Table 1.1.3'!F7</f>
        <v>0</v>
      </c>
      <c r="J7" s="200">
        <f>'Table 1.1.3'!G7</f>
        <v>0</v>
      </c>
      <c r="K7" s="200">
        <f>'Table 1.1.3'!H7</f>
        <v>0</v>
      </c>
      <c r="L7" s="200">
        <f>'Table 1.1.3'!I7</f>
        <v>0</v>
      </c>
      <c r="M7" s="200">
        <f>N7+O7</f>
        <v>1685</v>
      </c>
      <c r="N7" s="200">
        <f>SUM('Table 1.1.3'!K7,'Table 1.1.3'!M7:N7)</f>
        <v>1685</v>
      </c>
      <c r="O7" s="200">
        <f>'Table 1.1.3'!L7</f>
        <v>0</v>
      </c>
      <c r="P7" s="200">
        <f>'Table 1.1.3'!O7</f>
        <v>3906</v>
      </c>
      <c r="Q7" s="200">
        <f>'Table 1.1.4'!J7</f>
        <v>404.90499999999997</v>
      </c>
      <c r="R7" s="200">
        <f>'Table 1.1.5'!G7</f>
        <v>3128.0950000000003</v>
      </c>
      <c r="S7" s="200">
        <f>'Table 1.1.6'!F7</f>
        <v>374</v>
      </c>
      <c r="T7" s="200">
        <f>'Table 1.1.3'!AE7</f>
        <v>371</v>
      </c>
      <c r="U7" s="200">
        <f>'Table 1.1.3'!AF7</f>
        <v>102</v>
      </c>
      <c r="V7" s="200">
        <f>'Table 1.1.3'!AG7</f>
        <v>269</v>
      </c>
      <c r="W7" s="200">
        <f>'Table 1.1.3'!AH7</f>
        <v>2566</v>
      </c>
      <c r="X7" s="200">
        <f>'Table 1.1.3'!AI7</f>
        <v>694</v>
      </c>
      <c r="Y7" s="200">
        <f>'Table 1.1.3'!AJ7</f>
        <v>139</v>
      </c>
      <c r="Z7" s="200">
        <f>'Table 1.1.3'!AK7</f>
        <v>504</v>
      </c>
      <c r="AA7" s="200">
        <f>'Table 1.1.3'!AL7</f>
        <v>51</v>
      </c>
      <c r="AB7" s="200">
        <f>'Table 1.1.3'!AQ7</f>
        <v>1480</v>
      </c>
      <c r="AC7" s="200">
        <f>'Table 1.1.3'!AR7</f>
        <v>1066</v>
      </c>
      <c r="AD7" s="200">
        <f>'Table 1.1.3'!AS7</f>
        <v>72</v>
      </c>
      <c r="AE7" s="200">
        <f>'Table 1.1.3'!AT7</f>
        <v>341</v>
      </c>
      <c r="AF7" s="200">
        <f>'Table 1.1.3'!AU7</f>
        <v>392</v>
      </c>
      <c r="AG7" s="200">
        <f>'Table 1.1.3'!AV7</f>
        <v>279</v>
      </c>
      <c r="AH7" s="200">
        <f>'Table 1.1.3'!AW7</f>
        <v>47</v>
      </c>
      <c r="AI7" s="200">
        <f>'Table 1.1.3'!AX7</f>
        <v>67</v>
      </c>
    </row>
    <row r="8" spans="1:35" ht="12.75" customHeight="1">
      <c r="A8" s="199">
        <v>1961</v>
      </c>
      <c r="B8" s="200">
        <f>'Table 1.1'!B38</f>
        <v>29229</v>
      </c>
      <c r="C8" s="200">
        <f t="shared" ref="C8:C68" si="0">I8+K8+N8+Q8+U8+Z8+AD8+AH8</f>
        <v>3212.6239999999998</v>
      </c>
      <c r="D8" s="200">
        <f t="shared" ref="D8:D68" si="1">L8+O8+R8+V8+AA8+AE8+AI8</f>
        <v>4134.3760000000002</v>
      </c>
      <c r="E8" s="200">
        <f t="shared" ref="E8:E68" si="2">B8-C8-D8</f>
        <v>21882</v>
      </c>
      <c r="F8" s="200">
        <f>'Table 1.1.3'!C8</f>
        <v>13422</v>
      </c>
      <c r="G8" s="200">
        <f>'Table 1.1.3'!D8</f>
        <v>8187</v>
      </c>
      <c r="H8" s="200">
        <f>'Table 1.1.3'!E8</f>
        <v>6419</v>
      </c>
      <c r="I8" s="200">
        <f>'Table 1.1.3'!F8</f>
        <v>0</v>
      </c>
      <c r="J8" s="200">
        <f>'Table 1.1.3'!G8</f>
        <v>0</v>
      </c>
      <c r="K8" s="200">
        <f>'Table 1.1.3'!H8</f>
        <v>0</v>
      </c>
      <c r="L8" s="200">
        <f>'Table 1.1.3'!I8</f>
        <v>0</v>
      </c>
      <c r="M8" s="200">
        <f t="shared" ref="M8:M58" si="3">N8+O8</f>
        <v>1769</v>
      </c>
      <c r="N8" s="200">
        <f>SUM('Table 1.1.3'!K8,'Table 1.1.3'!M8:N8)</f>
        <v>1769</v>
      </c>
      <c r="O8" s="200">
        <f>'Table 1.1.3'!L8</f>
        <v>0</v>
      </c>
      <c r="P8" s="200">
        <f>'Table 1.1.3'!O8</f>
        <v>4347</v>
      </c>
      <c r="Q8" s="200">
        <f>'Table 1.1.4'!J8</f>
        <v>534.62400000000002</v>
      </c>
      <c r="R8" s="200">
        <f>'Table 1.1.5'!G8</f>
        <v>3397.3760000000002</v>
      </c>
      <c r="S8" s="200">
        <f>'Table 1.1.6'!F8</f>
        <v>414</v>
      </c>
      <c r="T8" s="200">
        <f>'Table 1.1.3'!AE8</f>
        <v>409</v>
      </c>
      <c r="U8" s="200">
        <f>'Table 1.1.3'!AF8</f>
        <v>108</v>
      </c>
      <c r="V8" s="200">
        <f>'Table 1.1.3'!AG8</f>
        <v>302</v>
      </c>
      <c r="W8" s="200">
        <f>'Table 1.1.3'!AH8</f>
        <v>2863</v>
      </c>
      <c r="X8" s="200">
        <f>'Table 1.1.3'!AI8</f>
        <v>886</v>
      </c>
      <c r="Y8" s="200">
        <f>'Table 1.1.3'!AJ8</f>
        <v>147</v>
      </c>
      <c r="Z8" s="200">
        <f>'Table 1.1.3'!AK8</f>
        <v>680</v>
      </c>
      <c r="AA8" s="200">
        <f>'Table 1.1.3'!AL8</f>
        <v>58</v>
      </c>
      <c r="AB8" s="200">
        <f>'Table 1.1.3'!AQ8</f>
        <v>1544</v>
      </c>
      <c r="AC8" s="200">
        <f>'Table 1.1.3'!AR8</f>
        <v>1163</v>
      </c>
      <c r="AD8" s="200">
        <f>'Table 1.1.3'!AS8</f>
        <v>71</v>
      </c>
      <c r="AE8" s="200">
        <f>'Table 1.1.3'!AT8</f>
        <v>310</v>
      </c>
      <c r="AF8" s="200">
        <f>'Table 1.1.3'!AU8</f>
        <v>433</v>
      </c>
      <c r="AG8" s="200">
        <f>'Table 1.1.3'!AV8</f>
        <v>317</v>
      </c>
      <c r="AH8" s="200">
        <f>'Table 1.1.3'!AW8</f>
        <v>50</v>
      </c>
      <c r="AI8" s="200">
        <f>'Table 1.1.3'!AX8</f>
        <v>67</v>
      </c>
    </row>
    <row r="9" spans="1:35" ht="12.75" customHeight="1">
      <c r="A9" s="199">
        <v>1962</v>
      </c>
      <c r="B9" s="200">
        <f>'Table 1.1'!B39</f>
        <v>31907</v>
      </c>
      <c r="C9" s="200">
        <f t="shared" si="0"/>
        <v>3628.02</v>
      </c>
      <c r="D9" s="200">
        <f t="shared" si="1"/>
        <v>4369.9799999999996</v>
      </c>
      <c r="E9" s="200">
        <f t="shared" si="2"/>
        <v>23909</v>
      </c>
      <c r="F9" s="200">
        <f>'Table 1.1.3'!C9</f>
        <v>14299</v>
      </c>
      <c r="G9" s="200">
        <f>'Table 1.1.3'!D9</f>
        <v>8935</v>
      </c>
      <c r="H9" s="200">
        <f>'Table 1.1.3'!E9</f>
        <v>7113</v>
      </c>
      <c r="I9" s="200">
        <f>'Table 1.1.3'!F9</f>
        <v>0</v>
      </c>
      <c r="J9" s="200">
        <f>'Table 1.1.3'!G9</f>
        <v>0</v>
      </c>
      <c r="K9" s="200">
        <f>'Table 1.1.3'!H9</f>
        <v>0</v>
      </c>
      <c r="L9" s="200">
        <f>'Table 1.1.3'!I9</f>
        <v>0</v>
      </c>
      <c r="M9" s="200">
        <f t="shared" si="3"/>
        <v>1821</v>
      </c>
      <c r="N9" s="200">
        <f>SUM('Table 1.1.3'!K9,'Table 1.1.3'!M9:N9)</f>
        <v>1821</v>
      </c>
      <c r="O9" s="200">
        <f>'Table 1.1.3'!L9</f>
        <v>0</v>
      </c>
      <c r="P9" s="200">
        <f>'Table 1.1.3'!O9</f>
        <v>4723</v>
      </c>
      <c r="Q9" s="200">
        <f>'Table 1.1.4'!J9</f>
        <v>692.02</v>
      </c>
      <c r="R9" s="200">
        <f>'Table 1.1.5'!G9</f>
        <v>3575.98</v>
      </c>
      <c r="S9" s="200">
        <f>'Table 1.1.6'!F9</f>
        <v>458</v>
      </c>
      <c r="T9" s="200">
        <f>'Table 1.1.3'!AE9</f>
        <v>456</v>
      </c>
      <c r="U9" s="200">
        <f>'Table 1.1.3'!AF9</f>
        <v>140</v>
      </c>
      <c r="V9" s="200">
        <f>'Table 1.1.3'!AG9</f>
        <v>316</v>
      </c>
      <c r="W9" s="200">
        <f>'Table 1.1.3'!AH9</f>
        <v>3493</v>
      </c>
      <c r="X9" s="200">
        <f>'Table 1.1.3'!AI9</f>
        <v>1068</v>
      </c>
      <c r="Y9" s="200">
        <f>'Table 1.1.3'!AJ9</f>
        <v>153</v>
      </c>
      <c r="Z9" s="200">
        <f>'Table 1.1.3'!AK9</f>
        <v>849</v>
      </c>
      <c r="AA9" s="200">
        <f>'Table 1.1.3'!AL9</f>
        <v>66</v>
      </c>
      <c r="AB9" s="200">
        <f>'Table 1.1.3'!AQ9</f>
        <v>1918</v>
      </c>
      <c r="AC9" s="200">
        <f>'Table 1.1.3'!AR9</f>
        <v>1509</v>
      </c>
      <c r="AD9" s="200">
        <f>'Table 1.1.3'!AS9</f>
        <v>71</v>
      </c>
      <c r="AE9" s="200">
        <f>'Table 1.1.3'!AT9</f>
        <v>338</v>
      </c>
      <c r="AF9" s="200">
        <f>'Table 1.1.3'!AU9</f>
        <v>507</v>
      </c>
      <c r="AG9" s="200">
        <f>'Table 1.1.3'!AV9</f>
        <v>378</v>
      </c>
      <c r="AH9" s="200">
        <f>'Table 1.1.3'!AW9</f>
        <v>55</v>
      </c>
      <c r="AI9" s="200">
        <f>'Table 1.1.3'!AX9</f>
        <v>74</v>
      </c>
    </row>
    <row r="10" spans="1:35" ht="12.75" customHeight="1">
      <c r="A10" s="199">
        <v>1963</v>
      </c>
      <c r="B10" s="200">
        <f>'Table 1.1'!B40</f>
        <v>34727</v>
      </c>
      <c r="C10" s="200">
        <f t="shared" si="0"/>
        <v>4149.6480000000001</v>
      </c>
      <c r="D10" s="200">
        <f t="shared" si="1"/>
        <v>4681.3519999999999</v>
      </c>
      <c r="E10" s="200">
        <f t="shared" si="2"/>
        <v>25896</v>
      </c>
      <c r="F10" s="200">
        <f>'Table 1.1.3'!C10</f>
        <v>15361</v>
      </c>
      <c r="G10" s="200">
        <f>'Table 1.1.3'!D10</f>
        <v>9827</v>
      </c>
      <c r="H10" s="200">
        <f>'Table 1.1.3'!E10</f>
        <v>7887</v>
      </c>
      <c r="I10" s="200">
        <f>'Table 1.1.3'!F10</f>
        <v>0</v>
      </c>
      <c r="J10" s="200">
        <f>'Table 1.1.3'!G10</f>
        <v>0</v>
      </c>
      <c r="K10" s="200">
        <f>'Table 1.1.3'!H10</f>
        <v>0</v>
      </c>
      <c r="L10" s="200">
        <f>'Table 1.1.3'!I10</f>
        <v>0</v>
      </c>
      <c r="M10" s="200">
        <f t="shared" si="3"/>
        <v>1940</v>
      </c>
      <c r="N10" s="200">
        <f>SUM('Table 1.1.3'!K10,'Table 1.1.3'!M10:N10)</f>
        <v>1940</v>
      </c>
      <c r="O10" s="200">
        <f>'Table 1.1.3'!L10</f>
        <v>0</v>
      </c>
      <c r="P10" s="200">
        <f>'Table 1.1.3'!O10</f>
        <v>5227</v>
      </c>
      <c r="Q10" s="200">
        <f>'Table 1.1.4'!J10</f>
        <v>815.64800000000002</v>
      </c>
      <c r="R10" s="200">
        <f>'Table 1.1.5'!G10</f>
        <v>3888.3519999999999</v>
      </c>
      <c r="S10" s="200">
        <f>'Table 1.1.6'!F10</f>
        <v>522</v>
      </c>
      <c r="T10" s="200">
        <f>'Table 1.1.3'!AE10</f>
        <v>509</v>
      </c>
      <c r="U10" s="200">
        <f>'Table 1.1.3'!AF10</f>
        <v>208</v>
      </c>
      <c r="V10" s="200">
        <f>'Table 1.1.3'!AG10</f>
        <v>301</v>
      </c>
      <c r="W10" s="200">
        <f>'Table 1.1.3'!AH10</f>
        <v>3802</v>
      </c>
      <c r="X10" s="200">
        <f>'Table 1.1.3'!AI10</f>
        <v>1219</v>
      </c>
      <c r="Y10" s="200">
        <f>'Table 1.1.3'!AJ10</f>
        <v>162</v>
      </c>
      <c r="Z10" s="200">
        <f>'Table 1.1.3'!AK10</f>
        <v>983</v>
      </c>
      <c r="AA10" s="200">
        <f>'Table 1.1.3'!AL10</f>
        <v>74</v>
      </c>
      <c r="AB10" s="200">
        <f>'Table 1.1.3'!AQ10</f>
        <v>1923</v>
      </c>
      <c r="AC10" s="200">
        <f>'Table 1.1.3'!AR10</f>
        <v>1505</v>
      </c>
      <c r="AD10" s="200">
        <f>'Table 1.1.3'!AS10</f>
        <v>85</v>
      </c>
      <c r="AE10" s="200">
        <f>'Table 1.1.3'!AT10</f>
        <v>333</v>
      </c>
      <c r="AF10" s="200">
        <f>'Table 1.1.3'!AU10</f>
        <v>659</v>
      </c>
      <c r="AG10" s="200">
        <f>'Table 1.1.3'!AV10</f>
        <v>456</v>
      </c>
      <c r="AH10" s="200">
        <f>'Table 1.1.3'!AW10</f>
        <v>118</v>
      </c>
      <c r="AI10" s="200">
        <f>'Table 1.1.3'!AX10</f>
        <v>85</v>
      </c>
    </row>
    <row r="11" spans="1:35" ht="12.75" customHeight="1">
      <c r="A11" s="199">
        <v>1964</v>
      </c>
      <c r="B11" s="200">
        <f>'Table 1.1'!B41</f>
        <v>38544</v>
      </c>
      <c r="C11" s="200">
        <f t="shared" si="0"/>
        <v>4350.701</v>
      </c>
      <c r="D11" s="200">
        <f t="shared" si="1"/>
        <v>5107.299</v>
      </c>
      <c r="E11" s="200">
        <f t="shared" si="2"/>
        <v>29086</v>
      </c>
      <c r="F11" s="200">
        <f>'Table 1.1.3'!C11</f>
        <v>16981</v>
      </c>
      <c r="G11" s="200">
        <f>'Table 1.1.3'!D11</f>
        <v>10900</v>
      </c>
      <c r="H11" s="200">
        <f>'Table 1.1.3'!E11</f>
        <v>8982</v>
      </c>
      <c r="I11" s="200">
        <f>'Table 1.1.3'!F11</f>
        <v>0</v>
      </c>
      <c r="J11" s="200">
        <f>'Table 1.1.3'!G11</f>
        <v>0</v>
      </c>
      <c r="K11" s="200">
        <f>'Table 1.1.3'!H11</f>
        <v>0</v>
      </c>
      <c r="L11" s="200">
        <f>'Table 1.1.3'!I11</f>
        <v>0</v>
      </c>
      <c r="M11" s="200">
        <f t="shared" si="3"/>
        <v>1919</v>
      </c>
      <c r="N11" s="200">
        <f>SUM('Table 1.1.3'!K11,'Table 1.1.3'!M11:N11)</f>
        <v>1919</v>
      </c>
      <c r="O11" s="200">
        <f>'Table 1.1.3'!L11</f>
        <v>0</v>
      </c>
      <c r="P11" s="200">
        <f>'Table 1.1.3'!O11</f>
        <v>5682</v>
      </c>
      <c r="Q11" s="200">
        <f>'Table 1.1.4'!J11</f>
        <v>864.70100000000002</v>
      </c>
      <c r="R11" s="200">
        <f>'Table 1.1.5'!G11</f>
        <v>4219.299</v>
      </c>
      <c r="S11" s="200">
        <f>'Table 1.1.6'!F11</f>
        <v>599</v>
      </c>
      <c r="T11" s="200">
        <f>'Table 1.1.3'!AE11</f>
        <v>572</v>
      </c>
      <c r="U11" s="200">
        <f>'Table 1.1.3'!AF11</f>
        <v>226</v>
      </c>
      <c r="V11" s="200">
        <f>'Table 1.1.3'!AG11</f>
        <v>347</v>
      </c>
      <c r="W11" s="200">
        <f>'Table 1.1.3'!AH11</f>
        <v>4408</v>
      </c>
      <c r="X11" s="200">
        <f>'Table 1.1.3'!AI11</f>
        <v>1366</v>
      </c>
      <c r="Y11" s="200">
        <f>'Table 1.1.3'!AJ11</f>
        <v>170</v>
      </c>
      <c r="Z11" s="200">
        <f>'Table 1.1.3'!AK11</f>
        <v>1112</v>
      </c>
      <c r="AA11" s="200">
        <f>'Table 1.1.3'!AL11</f>
        <v>84</v>
      </c>
      <c r="AB11" s="200">
        <f>'Table 1.1.3'!AQ11</f>
        <v>2340</v>
      </c>
      <c r="AC11" s="200">
        <f>'Table 1.1.3'!AR11</f>
        <v>1886</v>
      </c>
      <c r="AD11" s="200">
        <f>'Table 1.1.3'!AS11</f>
        <v>92</v>
      </c>
      <c r="AE11" s="200">
        <f>'Table 1.1.3'!AT11</f>
        <v>363</v>
      </c>
      <c r="AF11" s="200">
        <f>'Table 1.1.3'!AU11</f>
        <v>702</v>
      </c>
      <c r="AG11" s="200">
        <f>'Table 1.1.3'!AV11</f>
        <v>470</v>
      </c>
      <c r="AH11" s="200">
        <f>'Table 1.1.3'!AW11</f>
        <v>137</v>
      </c>
      <c r="AI11" s="200">
        <f>'Table 1.1.3'!AX11</f>
        <v>94</v>
      </c>
    </row>
    <row r="12" spans="1:35" ht="12.75" customHeight="1">
      <c r="A12" s="199">
        <v>1965</v>
      </c>
      <c r="B12" s="200">
        <f>'Table 1.1'!B42</f>
        <v>41957</v>
      </c>
      <c r="C12" s="200">
        <f t="shared" si="0"/>
        <v>4598.67</v>
      </c>
      <c r="D12" s="200">
        <f t="shared" si="1"/>
        <v>5695.33</v>
      </c>
      <c r="E12" s="200">
        <f t="shared" si="2"/>
        <v>31663</v>
      </c>
      <c r="F12" s="200">
        <f>'Table 1.1.3'!C12</f>
        <v>18262</v>
      </c>
      <c r="G12" s="200">
        <f>'Table 1.1.3'!D12</f>
        <v>11951</v>
      </c>
      <c r="H12" s="200">
        <f>'Table 1.1.3'!E12</f>
        <v>10000</v>
      </c>
      <c r="I12" s="200">
        <f>'Table 1.1.3'!F12</f>
        <v>0</v>
      </c>
      <c r="J12" s="200">
        <f>'Table 1.1.3'!G12</f>
        <v>0</v>
      </c>
      <c r="K12" s="200">
        <f>'Table 1.1.3'!H12</f>
        <v>0</v>
      </c>
      <c r="L12" s="200">
        <f>'Table 1.1.3'!I12</f>
        <v>0</v>
      </c>
      <c r="M12" s="200">
        <f t="shared" si="3"/>
        <v>1950</v>
      </c>
      <c r="N12" s="200">
        <f>SUM('Table 1.1.3'!K12,'Table 1.1.3'!M12:N12)</f>
        <v>1950</v>
      </c>
      <c r="O12" s="200">
        <f>'Table 1.1.3'!L12</f>
        <v>0</v>
      </c>
      <c r="P12" s="200">
        <f>'Table 1.1.3'!O12</f>
        <v>6359</v>
      </c>
      <c r="Q12" s="200">
        <f>'Table 1.1.4'!J12</f>
        <v>973.67000000000007</v>
      </c>
      <c r="R12" s="200">
        <f>'Table 1.1.5'!G12</f>
        <v>4692.33</v>
      </c>
      <c r="S12" s="200">
        <f>'Table 1.1.6'!F12</f>
        <v>694</v>
      </c>
      <c r="T12" s="200">
        <f>'Table 1.1.3'!AE12</f>
        <v>621</v>
      </c>
      <c r="U12" s="200">
        <f>'Table 1.1.3'!AF12</f>
        <v>214</v>
      </c>
      <c r="V12" s="200">
        <f>'Table 1.1.3'!AG12</f>
        <v>407</v>
      </c>
      <c r="W12" s="200">
        <f>'Table 1.1.3'!AH12</f>
        <v>4765</v>
      </c>
      <c r="X12" s="200">
        <f>'Table 1.1.3'!AI12</f>
        <v>1521</v>
      </c>
      <c r="Y12" s="200">
        <f>'Table 1.1.3'!AJ12</f>
        <v>176</v>
      </c>
      <c r="Z12" s="200">
        <f>'Table 1.1.3'!AK12</f>
        <v>1251</v>
      </c>
      <c r="AA12" s="200">
        <f>'Table 1.1.3'!AL12</f>
        <v>94</v>
      </c>
      <c r="AB12" s="200">
        <f>'Table 1.1.3'!AQ12</f>
        <v>2553</v>
      </c>
      <c r="AC12" s="200">
        <f>'Table 1.1.3'!AR12</f>
        <v>2035</v>
      </c>
      <c r="AD12" s="200">
        <f>'Table 1.1.3'!AS12</f>
        <v>120</v>
      </c>
      <c r="AE12" s="200">
        <f>'Table 1.1.3'!AT12</f>
        <v>397</v>
      </c>
      <c r="AF12" s="200">
        <f>'Table 1.1.3'!AU12</f>
        <v>691</v>
      </c>
      <c r="AG12" s="200">
        <f>'Table 1.1.3'!AV12</f>
        <v>496</v>
      </c>
      <c r="AH12" s="200">
        <f>'Table 1.1.3'!AW12</f>
        <v>90</v>
      </c>
      <c r="AI12" s="200">
        <f>'Table 1.1.3'!AX12</f>
        <v>105</v>
      </c>
    </row>
    <row r="13" spans="1:35" ht="12.75" customHeight="1">
      <c r="A13" s="199">
        <v>1966</v>
      </c>
      <c r="B13" s="200">
        <f>'Table 1.1'!B43</f>
        <v>46254</v>
      </c>
      <c r="C13" s="200">
        <f t="shared" si="0"/>
        <v>7420.6310000000003</v>
      </c>
      <c r="D13" s="200">
        <f t="shared" si="1"/>
        <v>6352.3689999999997</v>
      </c>
      <c r="E13" s="200">
        <f t="shared" si="2"/>
        <v>32481</v>
      </c>
      <c r="F13" s="200">
        <f>'Table 1.1.3'!C13</f>
        <v>18647</v>
      </c>
      <c r="G13" s="200">
        <f>'Table 1.1.3'!D13</f>
        <v>15600</v>
      </c>
      <c r="H13" s="200">
        <f>'Table 1.1.3'!E13</f>
        <v>10223</v>
      </c>
      <c r="I13" s="200">
        <f>'Table 1.1.3'!F13</f>
        <v>1842</v>
      </c>
      <c r="J13" s="200">
        <f>'Table 1.1.3'!G13</f>
        <v>1304</v>
      </c>
      <c r="K13" s="200">
        <f>'Table 1.1.3'!H13</f>
        <v>632</v>
      </c>
      <c r="L13" s="200">
        <f>'Table 1.1.3'!I13</f>
        <v>672</v>
      </c>
      <c r="M13" s="200">
        <f t="shared" si="3"/>
        <v>2231</v>
      </c>
      <c r="N13" s="200">
        <f>SUM('Table 1.1.3'!K13,'Table 1.1.3'!M13:N13)</f>
        <v>2231</v>
      </c>
      <c r="O13" s="200">
        <f>'Table 1.1.3'!L13</f>
        <v>0</v>
      </c>
      <c r="P13" s="200">
        <f>'Table 1.1.3'!O13</f>
        <v>6252</v>
      </c>
      <c r="Q13" s="200">
        <f>'Table 1.1.4'!J13</f>
        <v>849.63099999999997</v>
      </c>
      <c r="R13" s="200">
        <f>'Table 1.1.5'!G13</f>
        <v>4601.3689999999997</v>
      </c>
      <c r="S13" s="200">
        <f>'Table 1.1.6'!F13</f>
        <v>801</v>
      </c>
      <c r="T13" s="200">
        <f>'Table 1.1.3'!AE13</f>
        <v>733</v>
      </c>
      <c r="U13" s="200">
        <f>'Table 1.1.3'!AF13</f>
        <v>294</v>
      </c>
      <c r="V13" s="200">
        <f>'Table 1.1.3'!AG13</f>
        <v>439</v>
      </c>
      <c r="W13" s="200">
        <f>'Table 1.1.3'!AH13</f>
        <v>5021</v>
      </c>
      <c r="X13" s="200">
        <f>'Table 1.1.3'!AI13</f>
        <v>1624</v>
      </c>
      <c r="Y13" s="200">
        <f>'Table 1.1.3'!AJ13</f>
        <v>186</v>
      </c>
      <c r="Z13" s="200">
        <f>'Table 1.1.3'!AK13</f>
        <v>1335</v>
      </c>
      <c r="AA13" s="200">
        <f>'Table 1.1.3'!AL13</f>
        <v>103</v>
      </c>
      <c r="AB13" s="200">
        <f>'Table 1.1.3'!AQ13</f>
        <v>2558</v>
      </c>
      <c r="AC13" s="200">
        <f>'Table 1.1.3'!AR13</f>
        <v>2079</v>
      </c>
      <c r="AD13" s="200">
        <f>'Table 1.1.3'!AS13</f>
        <v>103</v>
      </c>
      <c r="AE13" s="200">
        <f>'Table 1.1.3'!AT13</f>
        <v>377</v>
      </c>
      <c r="AF13" s="200">
        <f>'Table 1.1.3'!AU13</f>
        <v>838</v>
      </c>
      <c r="AG13" s="200">
        <f>'Table 1.1.3'!AV13</f>
        <v>544</v>
      </c>
      <c r="AH13" s="200">
        <f>'Table 1.1.3'!AW13</f>
        <v>134</v>
      </c>
      <c r="AI13" s="200">
        <f>'Table 1.1.3'!AX13</f>
        <v>160</v>
      </c>
    </row>
    <row r="14" spans="1:35" ht="12.75" customHeight="1">
      <c r="A14" s="199">
        <v>1967</v>
      </c>
      <c r="B14" s="200">
        <f>'Table 1.1'!B44</f>
        <v>51780</v>
      </c>
      <c r="C14" s="200">
        <f t="shared" si="0"/>
        <v>11833.3</v>
      </c>
      <c r="D14" s="200">
        <f t="shared" si="1"/>
        <v>7296.7</v>
      </c>
      <c r="E14" s="200">
        <f t="shared" si="2"/>
        <v>32649.999999999996</v>
      </c>
      <c r="F14" s="200">
        <f>'Table 1.1.3'!C14</f>
        <v>18587</v>
      </c>
      <c r="G14" s="200">
        <f>'Table 1.1.3'!D14</f>
        <v>21039</v>
      </c>
      <c r="H14" s="200">
        <f>'Table 1.1.3'!E14</f>
        <v>10382</v>
      </c>
      <c r="I14" s="200">
        <f>'Table 1.1.3'!F14</f>
        <v>4924</v>
      </c>
      <c r="J14" s="200">
        <f>'Table 1.1.3'!G14</f>
        <v>3141</v>
      </c>
      <c r="K14" s="200">
        <f>'Table 1.1.3'!H14</f>
        <v>1525</v>
      </c>
      <c r="L14" s="200">
        <f>'Table 1.1.3'!I14</f>
        <v>1616</v>
      </c>
      <c r="M14" s="200">
        <f t="shared" si="3"/>
        <v>2592</v>
      </c>
      <c r="N14" s="200">
        <f>SUM('Table 1.1.3'!K14,'Table 1.1.3'!M14:N14)</f>
        <v>2592</v>
      </c>
      <c r="O14" s="200">
        <f>'Table 1.1.3'!L14</f>
        <v>0</v>
      </c>
      <c r="P14" s="200">
        <f>'Table 1.1.3'!O14</f>
        <v>6023</v>
      </c>
      <c r="Q14" s="200">
        <f>'Table 1.1.4'!J14</f>
        <v>718.3</v>
      </c>
      <c r="R14" s="200">
        <f>'Table 1.1.5'!G14</f>
        <v>4367.7</v>
      </c>
      <c r="S14" s="200">
        <f>'Table 1.1.6'!F14</f>
        <v>937</v>
      </c>
      <c r="T14" s="200">
        <f>'Table 1.1.3'!AE14</f>
        <v>861</v>
      </c>
      <c r="U14" s="200">
        <f>'Table 1.1.3'!AF14</f>
        <v>401</v>
      </c>
      <c r="V14" s="200">
        <f>'Table 1.1.3'!AG14</f>
        <v>460</v>
      </c>
      <c r="W14" s="200">
        <f>'Table 1.1.3'!AH14</f>
        <v>5269</v>
      </c>
      <c r="X14" s="200">
        <f>'Table 1.1.3'!AI14</f>
        <v>1775</v>
      </c>
      <c r="Y14" s="200">
        <f>'Table 1.1.3'!AJ14</f>
        <v>198</v>
      </c>
      <c r="Z14" s="200">
        <f>'Table 1.1.3'!AK14</f>
        <v>1466</v>
      </c>
      <c r="AA14" s="200">
        <f>'Table 1.1.3'!AL14</f>
        <v>111</v>
      </c>
      <c r="AB14" s="200">
        <f>'Table 1.1.3'!AQ14</f>
        <v>2522</v>
      </c>
      <c r="AC14" s="200">
        <f>'Table 1.1.3'!AR14</f>
        <v>1945</v>
      </c>
      <c r="AD14" s="200">
        <f>'Table 1.1.3'!AS14</f>
        <v>43</v>
      </c>
      <c r="AE14" s="200">
        <f>'Table 1.1.3'!AT14</f>
        <v>534</v>
      </c>
      <c r="AF14" s="200">
        <f>'Table 1.1.3'!AU14</f>
        <v>973</v>
      </c>
      <c r="AG14" s="200">
        <f>'Table 1.1.3'!AV14</f>
        <v>600</v>
      </c>
      <c r="AH14" s="200">
        <f>'Table 1.1.3'!AW14</f>
        <v>164</v>
      </c>
      <c r="AI14" s="200">
        <f>'Table 1.1.3'!AX14</f>
        <v>208</v>
      </c>
    </row>
    <row r="15" spans="1:35" ht="12.75" customHeight="1">
      <c r="A15" s="199">
        <v>1968</v>
      </c>
      <c r="B15" s="200">
        <f>'Table 1.1'!B45</f>
        <v>58755</v>
      </c>
      <c r="C15" s="200">
        <f t="shared" si="0"/>
        <v>13937.736000000001</v>
      </c>
      <c r="D15" s="200">
        <f t="shared" si="1"/>
        <v>8086.2640000000001</v>
      </c>
      <c r="E15" s="200">
        <f t="shared" si="2"/>
        <v>36730.999999999993</v>
      </c>
      <c r="F15" s="200">
        <f>'Table 1.1.3'!C15</f>
        <v>20628</v>
      </c>
      <c r="G15" s="200">
        <f>'Table 1.1.3'!D15</f>
        <v>24302</v>
      </c>
      <c r="H15" s="200">
        <f>'Table 1.1.3'!E15</f>
        <v>11754</v>
      </c>
      <c r="I15" s="200">
        <f>'Table 1.1.3'!F15</f>
        <v>6218</v>
      </c>
      <c r="J15" s="200">
        <f>'Table 1.1.3'!G15</f>
        <v>3541</v>
      </c>
      <c r="K15" s="200">
        <f>'Table 1.1.3'!H15</f>
        <v>1835</v>
      </c>
      <c r="L15" s="200">
        <f>'Table 1.1.3'!I15</f>
        <v>1707</v>
      </c>
      <c r="M15" s="200">
        <f t="shared" si="3"/>
        <v>2789</v>
      </c>
      <c r="N15" s="200">
        <f>SUM('Table 1.1.3'!K15,'Table 1.1.3'!M15:N15)</f>
        <v>2789</v>
      </c>
      <c r="O15" s="200">
        <f>'Table 1.1.3'!L15</f>
        <v>0</v>
      </c>
      <c r="P15" s="200">
        <f>'Table 1.1.3'!O15</f>
        <v>6871</v>
      </c>
      <c r="Q15" s="200">
        <f>'Table 1.1.4'!J15</f>
        <v>796.73599999999999</v>
      </c>
      <c r="R15" s="200">
        <f>'Table 1.1.5'!G15</f>
        <v>4906.2640000000001</v>
      </c>
      <c r="S15" s="200">
        <f>'Table 1.1.6'!F15</f>
        <v>1167</v>
      </c>
      <c r="T15" s="200">
        <f>'Table 1.1.3'!AE15</f>
        <v>969</v>
      </c>
      <c r="U15" s="200">
        <f>'Table 1.1.3'!AF15</f>
        <v>470</v>
      </c>
      <c r="V15" s="200">
        <f>'Table 1.1.3'!AG15</f>
        <v>499</v>
      </c>
      <c r="W15" s="200">
        <f>'Table 1.1.3'!AH15</f>
        <v>5984</v>
      </c>
      <c r="X15" s="200">
        <f>'Table 1.1.3'!AI15</f>
        <v>1877</v>
      </c>
      <c r="Y15" s="200">
        <f>'Table 1.1.3'!AJ15</f>
        <v>208</v>
      </c>
      <c r="Z15" s="200">
        <f>'Table 1.1.3'!AK15</f>
        <v>1539</v>
      </c>
      <c r="AA15" s="200">
        <f>'Table 1.1.3'!AL15</f>
        <v>130</v>
      </c>
      <c r="AB15" s="200">
        <f>'Table 1.1.3'!AQ15</f>
        <v>2986</v>
      </c>
      <c r="AC15" s="200">
        <f>'Table 1.1.3'!AR15</f>
        <v>2306</v>
      </c>
      <c r="AD15" s="200">
        <f>'Table 1.1.3'!AS15</f>
        <v>58</v>
      </c>
      <c r="AE15" s="200">
        <f>'Table 1.1.3'!AT15</f>
        <v>622</v>
      </c>
      <c r="AF15" s="200">
        <f>'Table 1.1.3'!AU15</f>
        <v>1122</v>
      </c>
      <c r="AG15" s="200">
        <f>'Table 1.1.3'!AV15</f>
        <v>667</v>
      </c>
      <c r="AH15" s="200">
        <f>'Table 1.1.3'!AW15</f>
        <v>232</v>
      </c>
      <c r="AI15" s="200">
        <f>'Table 1.1.3'!AX15</f>
        <v>222</v>
      </c>
    </row>
    <row r="16" spans="1:35" ht="12.75" customHeight="1">
      <c r="A16" s="199">
        <v>1969</v>
      </c>
      <c r="B16" s="200">
        <f>'Table 1.1'!B46</f>
        <v>66215</v>
      </c>
      <c r="C16" s="200">
        <f t="shared" si="0"/>
        <v>15743.111999999999</v>
      </c>
      <c r="D16" s="200">
        <f t="shared" si="1"/>
        <v>9030.887999999999</v>
      </c>
      <c r="E16" s="200">
        <f t="shared" si="2"/>
        <v>41441</v>
      </c>
      <c r="F16" s="200">
        <f>'Table 1.1.3'!C16</f>
        <v>22657</v>
      </c>
      <c r="G16" s="200">
        <f>'Table 1.1.3'!D16</f>
        <v>27490</v>
      </c>
      <c r="H16" s="200">
        <f>'Table 1.1.3'!E16</f>
        <v>13287</v>
      </c>
      <c r="I16" s="200">
        <f>'Table 1.1.3'!F16</f>
        <v>7045</v>
      </c>
      <c r="J16" s="200">
        <f>'Table 1.1.3'!G16</f>
        <v>4174</v>
      </c>
      <c r="K16" s="200">
        <f>'Table 1.1.3'!H16</f>
        <v>2298</v>
      </c>
      <c r="L16" s="200">
        <f>'Table 1.1.3'!I16</f>
        <v>1877</v>
      </c>
      <c r="M16" s="200">
        <f t="shared" si="3"/>
        <v>2983</v>
      </c>
      <c r="N16" s="200">
        <f>SUM('Table 1.1.3'!K16,'Table 1.1.3'!M16:N16)</f>
        <v>2983</v>
      </c>
      <c r="O16" s="200">
        <f>'Table 1.1.3'!L16</f>
        <v>0</v>
      </c>
      <c r="P16" s="200">
        <f>'Table 1.1.3'!O16</f>
        <v>7789</v>
      </c>
      <c r="Q16" s="200">
        <f>'Table 1.1.4'!J16</f>
        <v>974.11199999999997</v>
      </c>
      <c r="R16" s="200">
        <f>'Table 1.1.5'!G16</f>
        <v>5422.8879999999999</v>
      </c>
      <c r="S16" s="200">
        <f>'Table 1.1.6'!F16</f>
        <v>1392</v>
      </c>
      <c r="T16" s="200">
        <f>'Table 1.1.3'!AE16</f>
        <v>1174</v>
      </c>
      <c r="U16" s="200">
        <f>'Table 1.1.3'!AF16</f>
        <v>564</v>
      </c>
      <c r="V16" s="200">
        <f>'Table 1.1.3'!AG16</f>
        <v>610</v>
      </c>
      <c r="W16" s="200">
        <f>'Table 1.1.3'!AH16</f>
        <v>7105</v>
      </c>
      <c r="X16" s="200">
        <f>'Table 1.1.3'!AI16</f>
        <v>1924</v>
      </c>
      <c r="Y16" s="200">
        <f>'Table 1.1.3'!AJ16</f>
        <v>213</v>
      </c>
      <c r="Z16" s="200">
        <f>'Table 1.1.3'!AK16</f>
        <v>1555</v>
      </c>
      <c r="AA16" s="200">
        <f>'Table 1.1.3'!AL16</f>
        <v>156</v>
      </c>
      <c r="AB16" s="200">
        <f>'Table 1.1.3'!AQ16</f>
        <v>3945</v>
      </c>
      <c r="AC16" s="200">
        <f>'Table 1.1.3'!AR16</f>
        <v>3177</v>
      </c>
      <c r="AD16" s="200">
        <f>'Table 1.1.3'!AS16</f>
        <v>67</v>
      </c>
      <c r="AE16" s="200">
        <f>'Table 1.1.3'!AT16</f>
        <v>701</v>
      </c>
      <c r="AF16" s="200">
        <f>'Table 1.1.3'!AU16</f>
        <v>1236</v>
      </c>
      <c r="AG16" s="200">
        <f>'Table 1.1.3'!AV16</f>
        <v>715</v>
      </c>
      <c r="AH16" s="200">
        <f>'Table 1.1.3'!AW16</f>
        <v>257</v>
      </c>
      <c r="AI16" s="200">
        <f>'Table 1.1.3'!AX16</f>
        <v>264</v>
      </c>
    </row>
    <row r="17" spans="1:35" ht="18" customHeight="1">
      <c r="A17" s="199">
        <v>1970</v>
      </c>
      <c r="B17" s="200">
        <f>'Table 1.1'!B47</f>
        <v>74853</v>
      </c>
      <c r="C17" s="200">
        <f t="shared" si="0"/>
        <v>17643.22</v>
      </c>
      <c r="D17" s="200">
        <f t="shared" si="1"/>
        <v>10384.779999999999</v>
      </c>
      <c r="E17" s="200">
        <f t="shared" si="2"/>
        <v>46825</v>
      </c>
      <c r="F17" s="200">
        <f>'Table 1.1.3'!C17</f>
        <v>25015</v>
      </c>
      <c r="G17" s="200">
        <f>'Table 1.1.3'!D17</f>
        <v>31688</v>
      </c>
      <c r="H17" s="200">
        <f>'Table 1.1.3'!E17</f>
        <v>15424</v>
      </c>
      <c r="I17" s="200">
        <f>'Table 1.1.3'!F17</f>
        <v>7672</v>
      </c>
      <c r="J17" s="200">
        <f>'Table 1.1.3'!G17</f>
        <v>5290</v>
      </c>
      <c r="K17" s="200">
        <f>'Table 1.1.3'!H17</f>
        <v>2842</v>
      </c>
      <c r="L17" s="200">
        <f>'Table 1.1.3'!I17</f>
        <v>2447</v>
      </c>
      <c r="M17" s="200">
        <f t="shared" si="3"/>
        <v>3301</v>
      </c>
      <c r="N17" s="200">
        <f>SUM('Table 1.1.3'!K17,'Table 1.1.3'!M17:N17)</f>
        <v>3301</v>
      </c>
      <c r="O17" s="200">
        <f>'Table 1.1.3'!L17</f>
        <v>0</v>
      </c>
      <c r="P17" s="200">
        <f>'Table 1.1.3'!O17</f>
        <v>9012</v>
      </c>
      <c r="Q17" s="200">
        <f>'Table 1.1.4'!J17</f>
        <v>1326.22</v>
      </c>
      <c r="R17" s="200">
        <f>'Table 1.1.5'!G17</f>
        <v>5983.78</v>
      </c>
      <c r="S17" s="200">
        <f>'Table 1.1.6'!F17</f>
        <v>1701</v>
      </c>
      <c r="T17" s="200">
        <f>'Table 1.1.3'!AE17</f>
        <v>1356</v>
      </c>
      <c r="U17" s="200">
        <f>'Table 1.1.3'!AF17</f>
        <v>594</v>
      </c>
      <c r="V17" s="200">
        <f>'Table 1.1.3'!AG17</f>
        <v>762</v>
      </c>
      <c r="W17" s="200">
        <f>'Table 1.1.3'!AH17</f>
        <v>7783</v>
      </c>
      <c r="X17" s="200">
        <f>'Table 1.1.3'!AI17</f>
        <v>1953</v>
      </c>
      <c r="Y17" s="200">
        <f>'Table 1.1.3'!AJ17</f>
        <v>215</v>
      </c>
      <c r="Z17" s="200">
        <f>'Table 1.1.3'!AK17</f>
        <v>1556</v>
      </c>
      <c r="AA17" s="200">
        <f>'Table 1.1.3'!AL17</f>
        <v>183</v>
      </c>
      <c r="AB17" s="200">
        <f>'Table 1.1.3'!AQ17</f>
        <v>4523</v>
      </c>
      <c r="AC17" s="200">
        <f>'Table 1.1.3'!AR17</f>
        <v>3731</v>
      </c>
      <c r="AD17" s="200">
        <f>'Table 1.1.3'!AS17</f>
        <v>93</v>
      </c>
      <c r="AE17" s="200">
        <f>'Table 1.1.3'!AT17</f>
        <v>700</v>
      </c>
      <c r="AF17" s="200">
        <f>'Table 1.1.3'!AU17</f>
        <v>1306</v>
      </c>
      <c r="AG17" s="200">
        <f>'Table 1.1.3'!AV17</f>
        <v>738</v>
      </c>
      <c r="AH17" s="200">
        <f>'Table 1.1.3'!AW17</f>
        <v>259</v>
      </c>
      <c r="AI17" s="200">
        <f>'Table 1.1.3'!AX17</f>
        <v>309</v>
      </c>
    </row>
    <row r="18" spans="1:35" ht="12.75" customHeight="1">
      <c r="A18" s="199">
        <v>1971</v>
      </c>
      <c r="B18" s="200">
        <f>'Table 1.1'!B48</f>
        <v>83240</v>
      </c>
      <c r="C18" s="200">
        <f t="shared" si="0"/>
        <v>20475.78</v>
      </c>
      <c r="D18" s="200">
        <f t="shared" si="1"/>
        <v>11456.220000000001</v>
      </c>
      <c r="E18" s="200">
        <f t="shared" si="2"/>
        <v>51308</v>
      </c>
      <c r="F18" s="200">
        <f>'Table 1.1.3'!C18</f>
        <v>26380</v>
      </c>
      <c r="G18" s="200">
        <f>'Table 1.1.3'!D18</f>
        <v>36644</v>
      </c>
      <c r="H18" s="200">
        <f>'Table 1.1.3'!E18</f>
        <v>17757</v>
      </c>
      <c r="I18" s="200">
        <f>'Table 1.1.3'!F18</f>
        <v>8443</v>
      </c>
      <c r="J18" s="200">
        <f>'Table 1.1.3'!G18</f>
        <v>6695</v>
      </c>
      <c r="K18" s="200">
        <f>'Table 1.1.3'!H18</f>
        <v>3810</v>
      </c>
      <c r="L18" s="200">
        <f>'Table 1.1.3'!I18</f>
        <v>2886</v>
      </c>
      <c r="M18" s="200">
        <f t="shared" si="3"/>
        <v>3749</v>
      </c>
      <c r="N18" s="200">
        <f>SUM('Table 1.1.3'!K18,'Table 1.1.3'!M18:N18)</f>
        <v>3749</v>
      </c>
      <c r="O18" s="200">
        <f>'Table 1.1.3'!L18</f>
        <v>0</v>
      </c>
      <c r="P18" s="200">
        <f>'Table 1.1.3'!O18</f>
        <v>9666</v>
      </c>
      <c r="Q18" s="200">
        <f>'Table 1.1.4'!J18</f>
        <v>1674.78</v>
      </c>
      <c r="R18" s="200">
        <f>'Table 1.1.5'!G18</f>
        <v>6087.22</v>
      </c>
      <c r="S18" s="200">
        <f>'Table 1.1.6'!F18</f>
        <v>1905</v>
      </c>
      <c r="T18" s="200">
        <f>'Table 1.1.3'!AE18</f>
        <v>1676</v>
      </c>
      <c r="U18" s="200">
        <f>'Table 1.1.3'!AF18</f>
        <v>791</v>
      </c>
      <c r="V18" s="200">
        <f>'Table 1.1.3'!AG18</f>
        <v>885</v>
      </c>
      <c r="W18" s="200">
        <f>'Table 1.1.3'!AH18</f>
        <v>8874</v>
      </c>
      <c r="X18" s="200">
        <f>'Table 1.1.3'!AI18</f>
        <v>2109</v>
      </c>
      <c r="Y18" s="200">
        <f>'Table 1.1.3'!AJ18</f>
        <v>233</v>
      </c>
      <c r="Z18" s="200">
        <f>'Table 1.1.3'!AK18</f>
        <v>1663</v>
      </c>
      <c r="AA18" s="200">
        <f>'Table 1.1.3'!AL18</f>
        <v>213</v>
      </c>
      <c r="AB18" s="200">
        <f>'Table 1.1.3'!AQ18</f>
        <v>5193</v>
      </c>
      <c r="AC18" s="200">
        <f>'Table 1.1.3'!AR18</f>
        <v>4242</v>
      </c>
      <c r="AD18" s="200">
        <f>'Table 1.1.3'!AS18</f>
        <v>129</v>
      </c>
      <c r="AE18" s="200">
        <f>'Table 1.1.3'!AT18</f>
        <v>821</v>
      </c>
      <c r="AF18" s="200">
        <f>'Table 1.1.3'!AU18</f>
        <v>1573</v>
      </c>
      <c r="AG18" s="200">
        <f>'Table 1.1.3'!AV18</f>
        <v>793</v>
      </c>
      <c r="AH18" s="200">
        <f>'Table 1.1.3'!AW18</f>
        <v>216</v>
      </c>
      <c r="AI18" s="200">
        <f>'Table 1.1.3'!AX18</f>
        <v>564</v>
      </c>
    </row>
    <row r="19" spans="1:35" ht="12.75" customHeight="1">
      <c r="A19" s="199">
        <v>1972</v>
      </c>
      <c r="B19" s="200">
        <f>'Table 1.1'!B49</f>
        <v>93141</v>
      </c>
      <c r="C19" s="200">
        <f t="shared" si="0"/>
        <v>23009.56</v>
      </c>
      <c r="D19" s="200">
        <f t="shared" si="1"/>
        <v>12749.44</v>
      </c>
      <c r="E19" s="200">
        <f t="shared" si="2"/>
        <v>57382</v>
      </c>
      <c r="F19" s="200">
        <f>'Table 1.1.3'!C19</f>
        <v>28724</v>
      </c>
      <c r="G19" s="200">
        <f>'Table 1.1.3'!D19</f>
        <v>42519</v>
      </c>
      <c r="H19" s="200">
        <f>'Table 1.1.3'!E19</f>
        <v>20593</v>
      </c>
      <c r="I19" s="200">
        <f>'Table 1.1.3'!F19</f>
        <v>9325</v>
      </c>
      <c r="J19" s="200">
        <f>'Table 1.1.3'!G19</f>
        <v>8314</v>
      </c>
      <c r="K19" s="200">
        <f>'Table 1.1.3'!H19</f>
        <v>4547</v>
      </c>
      <c r="L19" s="200">
        <f>'Table 1.1.3'!I19</f>
        <v>3766</v>
      </c>
      <c r="M19" s="200">
        <f t="shared" si="3"/>
        <v>4288</v>
      </c>
      <c r="N19" s="200">
        <f>SUM('Table 1.1.3'!K19,'Table 1.1.3'!M19:N19)</f>
        <v>4288</v>
      </c>
      <c r="O19" s="200">
        <f>'Table 1.1.3'!L19</f>
        <v>0</v>
      </c>
      <c r="P19" s="200">
        <f>'Table 1.1.3'!O19</f>
        <v>10277</v>
      </c>
      <c r="Q19" s="200">
        <f>'Table 1.1.4'!J19</f>
        <v>1656.56</v>
      </c>
      <c r="R19" s="200">
        <f>'Table 1.1.5'!G19</f>
        <v>6417.4400000000005</v>
      </c>
      <c r="S19" s="200">
        <f>'Table 1.1.6'!F19</f>
        <v>2202</v>
      </c>
      <c r="T19" s="200">
        <f>'Table 1.1.3'!AE19</f>
        <v>1855</v>
      </c>
      <c r="U19" s="200">
        <f>'Table 1.1.3'!AF19</f>
        <v>893</v>
      </c>
      <c r="V19" s="200">
        <f>'Table 1.1.3'!AG19</f>
        <v>962</v>
      </c>
      <c r="W19" s="200">
        <f>'Table 1.1.3'!AH19</f>
        <v>9765</v>
      </c>
      <c r="X19" s="200">
        <f>'Table 1.1.3'!AI19</f>
        <v>2357</v>
      </c>
      <c r="Y19" s="200">
        <f>'Table 1.1.3'!AJ19</f>
        <v>227</v>
      </c>
      <c r="Z19" s="200">
        <f>'Table 1.1.3'!AK19</f>
        <v>1893</v>
      </c>
      <c r="AA19" s="200">
        <f>'Table 1.1.3'!AL19</f>
        <v>237</v>
      </c>
      <c r="AB19" s="200">
        <f>'Table 1.1.3'!AQ19</f>
        <v>5686</v>
      </c>
      <c r="AC19" s="200">
        <f>'Table 1.1.3'!AR19</f>
        <v>4730</v>
      </c>
      <c r="AD19" s="200">
        <f>'Table 1.1.3'!AS19</f>
        <v>116</v>
      </c>
      <c r="AE19" s="200">
        <f>'Table 1.1.3'!AT19</f>
        <v>840</v>
      </c>
      <c r="AF19" s="200">
        <f>'Table 1.1.3'!AU19</f>
        <v>1722</v>
      </c>
      <c r="AG19" s="200">
        <f>'Table 1.1.3'!AV19</f>
        <v>904</v>
      </c>
      <c r="AH19" s="200">
        <f>'Table 1.1.3'!AW19</f>
        <v>291</v>
      </c>
      <c r="AI19" s="200">
        <f>'Table 1.1.3'!AX19</f>
        <v>527</v>
      </c>
    </row>
    <row r="20" spans="1:35" ht="12.75" customHeight="1">
      <c r="A20" s="199">
        <v>1973</v>
      </c>
      <c r="B20" s="200">
        <f>'Table 1.1'!B50</f>
        <v>103365</v>
      </c>
      <c r="C20" s="200">
        <f t="shared" si="0"/>
        <v>25786.75</v>
      </c>
      <c r="D20" s="200">
        <f t="shared" si="1"/>
        <v>14572.25</v>
      </c>
      <c r="E20" s="200">
        <f t="shared" si="2"/>
        <v>63006</v>
      </c>
      <c r="F20" s="200">
        <f>'Table 1.1.3'!C20</f>
        <v>31716</v>
      </c>
      <c r="G20" s="200">
        <f>'Table 1.1.3'!D20</f>
        <v>47918</v>
      </c>
      <c r="H20" s="200">
        <f>'Table 1.1.3'!E20</f>
        <v>22884</v>
      </c>
      <c r="I20" s="200">
        <f>'Table 1.1.3'!F20</f>
        <v>10730</v>
      </c>
      <c r="J20" s="200">
        <f>'Table 1.1.3'!G20</f>
        <v>9423</v>
      </c>
      <c r="K20" s="200">
        <f>'Table 1.1.3'!H20</f>
        <v>4933</v>
      </c>
      <c r="L20" s="200">
        <f>'Table 1.1.3'!I20</f>
        <v>4490</v>
      </c>
      <c r="M20" s="200">
        <f t="shared" si="3"/>
        <v>4881</v>
      </c>
      <c r="N20" s="200">
        <f>SUM('Table 1.1.3'!K20,'Table 1.1.3'!M20:N20)</f>
        <v>4881</v>
      </c>
      <c r="O20" s="200">
        <f>'Table 1.1.3'!L20</f>
        <v>0</v>
      </c>
      <c r="P20" s="200">
        <f>'Table 1.1.3'!O20</f>
        <v>11365</v>
      </c>
      <c r="Q20" s="200">
        <f>'Table 1.1.4'!J20</f>
        <v>1845.75</v>
      </c>
      <c r="R20" s="200">
        <f>'Table 1.1.5'!G20</f>
        <v>7162.25</v>
      </c>
      <c r="S20" s="200">
        <f>'Table 1.1.6'!F20</f>
        <v>2357</v>
      </c>
      <c r="T20" s="200">
        <f>'Table 1.1.3'!AE20</f>
        <v>2123</v>
      </c>
      <c r="U20" s="200">
        <f>'Table 1.1.3'!AF20</f>
        <v>854</v>
      </c>
      <c r="V20" s="200">
        <f>'Table 1.1.3'!AG20</f>
        <v>1269</v>
      </c>
      <c r="W20" s="200">
        <f>'Table 1.1.3'!AH20</f>
        <v>10244</v>
      </c>
      <c r="X20" s="200">
        <f>'Table 1.1.3'!AI20</f>
        <v>2502</v>
      </c>
      <c r="Y20" s="200">
        <f>'Table 1.1.3'!AJ20</f>
        <v>232</v>
      </c>
      <c r="Z20" s="200">
        <f>'Table 1.1.3'!AK20</f>
        <v>2022</v>
      </c>
      <c r="AA20" s="200">
        <f>'Table 1.1.3'!AL20</f>
        <v>248</v>
      </c>
      <c r="AB20" s="200">
        <f>'Table 1.1.3'!AQ20</f>
        <v>5649</v>
      </c>
      <c r="AC20" s="200">
        <f>'Table 1.1.3'!AR20</f>
        <v>4716</v>
      </c>
      <c r="AD20" s="200">
        <f>'Table 1.1.3'!AS20</f>
        <v>97</v>
      </c>
      <c r="AE20" s="200">
        <f>'Table 1.1.3'!AT20</f>
        <v>836</v>
      </c>
      <c r="AF20" s="200">
        <f>'Table 1.1.3'!AU20</f>
        <v>2093</v>
      </c>
      <c r="AG20" s="200">
        <f>'Table 1.1.3'!AV20</f>
        <v>1102</v>
      </c>
      <c r="AH20" s="200">
        <f>'Table 1.1.3'!AW20</f>
        <v>424</v>
      </c>
      <c r="AI20" s="200">
        <f>'Table 1.1.3'!AX20</f>
        <v>567</v>
      </c>
    </row>
    <row r="21" spans="1:35" ht="12.75" customHeight="1">
      <c r="A21" s="199">
        <v>1974</v>
      </c>
      <c r="B21" s="200">
        <f>'Table 1.1'!B51</f>
        <v>117157</v>
      </c>
      <c r="C21" s="200">
        <f t="shared" si="0"/>
        <v>30796.275999999998</v>
      </c>
      <c r="D21" s="200">
        <f t="shared" si="1"/>
        <v>16794.724000000002</v>
      </c>
      <c r="E21" s="200">
        <f t="shared" si="2"/>
        <v>69566</v>
      </c>
      <c r="F21" s="200">
        <f>'Table 1.1.3'!C21</f>
        <v>34467</v>
      </c>
      <c r="G21" s="200">
        <f>'Table 1.1.3'!D21</f>
        <v>55848</v>
      </c>
      <c r="H21" s="200">
        <f>'Table 1.1.3'!E21</f>
        <v>25972</v>
      </c>
      <c r="I21" s="200">
        <f>'Table 1.1.3'!F21</f>
        <v>13428</v>
      </c>
      <c r="J21" s="200">
        <f>'Table 1.1.3'!G21</f>
        <v>11073</v>
      </c>
      <c r="K21" s="200">
        <f>'Table 1.1.3'!H21</f>
        <v>6277</v>
      </c>
      <c r="L21" s="200">
        <f>'Table 1.1.3'!I21</f>
        <v>4797</v>
      </c>
      <c r="M21" s="200">
        <f t="shared" si="3"/>
        <v>5375</v>
      </c>
      <c r="N21" s="200">
        <f>SUM('Table 1.1.3'!K21,'Table 1.1.3'!M21:N21)</f>
        <v>5375</v>
      </c>
      <c r="O21" s="200">
        <f>'Table 1.1.3'!L21</f>
        <v>0</v>
      </c>
      <c r="P21" s="200">
        <f>'Table 1.1.3'!O21</f>
        <v>13025</v>
      </c>
      <c r="Q21" s="200">
        <f>'Table 1.1.4'!J21</f>
        <v>2006.2759999999998</v>
      </c>
      <c r="R21" s="200">
        <f>'Table 1.1.5'!G21</f>
        <v>8298.7240000000002</v>
      </c>
      <c r="S21" s="200">
        <f>'Table 1.1.6'!F21</f>
        <v>2718</v>
      </c>
      <c r="T21" s="200">
        <f>'Table 1.1.3'!AE21</f>
        <v>2584</v>
      </c>
      <c r="U21" s="200">
        <f>'Table 1.1.3'!AF21</f>
        <v>969</v>
      </c>
      <c r="V21" s="200">
        <f>'Table 1.1.3'!AG21</f>
        <v>1615</v>
      </c>
      <c r="W21" s="200">
        <f>'Table 1.1.3'!AH21</f>
        <v>11233</v>
      </c>
      <c r="X21" s="200">
        <f>'Table 1.1.3'!AI21</f>
        <v>2767</v>
      </c>
      <c r="Y21" s="200">
        <f>'Table 1.1.3'!AJ21</f>
        <v>252</v>
      </c>
      <c r="Z21" s="200">
        <f>'Table 1.1.3'!AK21</f>
        <v>2245</v>
      </c>
      <c r="AA21" s="200">
        <f>'Table 1.1.3'!AL21</f>
        <v>270</v>
      </c>
      <c r="AB21" s="200">
        <f>'Table 1.1.3'!AQ21</f>
        <v>5977</v>
      </c>
      <c r="AC21" s="200">
        <f>'Table 1.1.3'!AR21</f>
        <v>4805</v>
      </c>
      <c r="AD21" s="200">
        <f>'Table 1.1.3'!AS21</f>
        <v>116</v>
      </c>
      <c r="AE21" s="200">
        <f>'Table 1.1.3'!AT21</f>
        <v>1057</v>
      </c>
      <c r="AF21" s="200">
        <f>'Table 1.1.3'!AU21</f>
        <v>2489</v>
      </c>
      <c r="AG21" s="200">
        <f>'Table 1.1.3'!AV21</f>
        <v>1351</v>
      </c>
      <c r="AH21" s="200">
        <f>'Table 1.1.3'!AW21</f>
        <v>380</v>
      </c>
      <c r="AI21" s="200">
        <f>'Table 1.1.3'!AX21</f>
        <v>757</v>
      </c>
    </row>
    <row r="22" spans="1:35" ht="12.75" customHeight="1">
      <c r="A22" s="199">
        <v>1975</v>
      </c>
      <c r="B22" s="200">
        <f>'Table 1.1'!B52</f>
        <v>133585</v>
      </c>
      <c r="C22" s="200">
        <f t="shared" si="0"/>
        <v>36674.483</v>
      </c>
      <c r="D22" s="200">
        <f t="shared" si="1"/>
        <v>19351.517</v>
      </c>
      <c r="E22" s="200">
        <f t="shared" si="2"/>
        <v>77559</v>
      </c>
      <c r="F22" s="200">
        <f>'Table 1.1.3'!C22</f>
        <v>37372</v>
      </c>
      <c r="G22" s="200">
        <f>'Table 1.1.3'!D22</f>
        <v>66213</v>
      </c>
      <c r="H22" s="200">
        <f>'Table 1.1.3'!E22</f>
        <v>30461</v>
      </c>
      <c r="I22" s="200">
        <f>'Table 1.1.3'!F22</f>
        <v>16336</v>
      </c>
      <c r="J22" s="200">
        <f>'Table 1.1.3'!G22</f>
        <v>13446</v>
      </c>
      <c r="K22" s="200">
        <f>'Table 1.1.3'!H22</f>
        <v>7409</v>
      </c>
      <c r="L22" s="200">
        <f>'Table 1.1.3'!I22</f>
        <v>6037</v>
      </c>
      <c r="M22" s="200">
        <f t="shared" si="3"/>
        <v>5971</v>
      </c>
      <c r="N22" s="200">
        <f>SUM('Table 1.1.3'!K22,'Table 1.1.3'!M22:N22)</f>
        <v>5971</v>
      </c>
      <c r="O22" s="200">
        <f>'Table 1.1.3'!L22</f>
        <v>0</v>
      </c>
      <c r="P22" s="200">
        <f>'Table 1.1.3'!O22</f>
        <v>14609</v>
      </c>
      <c r="Q22" s="200">
        <f>'Table 1.1.4'!J22</f>
        <v>2453.4830000000002</v>
      </c>
      <c r="R22" s="200">
        <f>'Table 1.1.5'!G22</f>
        <v>9155.5169999999998</v>
      </c>
      <c r="S22" s="200">
        <f>'Table 1.1.6'!F22</f>
        <v>3001</v>
      </c>
      <c r="T22" s="200">
        <f>'Table 1.1.3'!AE22</f>
        <v>2967</v>
      </c>
      <c r="U22" s="200">
        <f>'Table 1.1.3'!AF22</f>
        <v>1043</v>
      </c>
      <c r="V22" s="200">
        <f>'Table 1.1.3'!AG22</f>
        <v>1924</v>
      </c>
      <c r="W22" s="200">
        <f>'Table 1.1.3'!AH22</f>
        <v>12425</v>
      </c>
      <c r="X22" s="200">
        <f>'Table 1.1.3'!AI22</f>
        <v>3372</v>
      </c>
      <c r="Y22" s="200">
        <f>'Table 1.1.3'!AJ22</f>
        <v>264</v>
      </c>
      <c r="Z22" s="200">
        <f>'Table 1.1.3'!AK22</f>
        <v>2809</v>
      </c>
      <c r="AA22" s="200">
        <f>'Table 1.1.3'!AL22</f>
        <v>298</v>
      </c>
      <c r="AB22" s="200">
        <f>'Table 1.1.3'!AQ22</f>
        <v>6515</v>
      </c>
      <c r="AC22" s="200">
        <f>'Table 1.1.3'!AR22</f>
        <v>4831</v>
      </c>
      <c r="AD22" s="200">
        <f>'Table 1.1.3'!AS22</f>
        <v>218</v>
      </c>
      <c r="AE22" s="200">
        <f>'Table 1.1.3'!AT22</f>
        <v>1466</v>
      </c>
      <c r="AF22" s="200">
        <f>'Table 1.1.3'!AU22</f>
        <v>2538</v>
      </c>
      <c r="AG22" s="200">
        <f>'Table 1.1.3'!AV22</f>
        <v>1632</v>
      </c>
      <c r="AH22" s="200">
        <f>'Table 1.1.3'!AW22</f>
        <v>435</v>
      </c>
      <c r="AI22" s="200">
        <f>'Table 1.1.3'!AX22</f>
        <v>471</v>
      </c>
    </row>
    <row r="23" spans="1:35" ht="12.75" customHeight="1">
      <c r="A23" s="199">
        <v>1976</v>
      </c>
      <c r="B23" s="200">
        <f>'Table 1.1'!B53</f>
        <v>153011</v>
      </c>
      <c r="C23" s="200">
        <f t="shared" si="0"/>
        <v>43146.044999999998</v>
      </c>
      <c r="D23" s="200">
        <f t="shared" si="1"/>
        <v>20243.955000000002</v>
      </c>
      <c r="E23" s="200">
        <f t="shared" si="2"/>
        <v>89621</v>
      </c>
      <c r="F23" s="200">
        <f>'Table 1.1.3'!C23</f>
        <v>40767</v>
      </c>
      <c r="G23" s="200">
        <f>'Table 1.1.3'!D23</f>
        <v>78938</v>
      </c>
      <c r="H23" s="200">
        <f>'Table 1.1.3'!E23</f>
        <v>37295</v>
      </c>
      <c r="I23" s="200">
        <f>'Table 1.1.3'!F23</f>
        <v>19694</v>
      </c>
      <c r="J23" s="200">
        <f>'Table 1.1.3'!G23</f>
        <v>15188</v>
      </c>
      <c r="K23" s="200">
        <f>'Table 1.1.3'!H23</f>
        <v>9153</v>
      </c>
      <c r="L23" s="200">
        <f>'Table 1.1.3'!I23</f>
        <v>6036</v>
      </c>
      <c r="M23" s="200">
        <f t="shared" si="3"/>
        <v>6761</v>
      </c>
      <c r="N23" s="200">
        <f>SUM('Table 1.1.3'!K23,'Table 1.1.3'!M23:N23)</f>
        <v>6761</v>
      </c>
      <c r="O23" s="200">
        <f>'Table 1.1.3'!L23</f>
        <v>0</v>
      </c>
      <c r="P23" s="200">
        <f>'Table 1.1.3'!O23</f>
        <v>16440</v>
      </c>
      <c r="Q23" s="200">
        <f>'Table 1.1.4'!J23</f>
        <v>2666.0450000000001</v>
      </c>
      <c r="R23" s="200">
        <f>'Table 1.1.5'!G23</f>
        <v>9578.9549999999999</v>
      </c>
      <c r="S23" s="200">
        <f>'Table 1.1.6'!F23</f>
        <v>4194</v>
      </c>
      <c r="T23" s="200">
        <f>'Table 1.1.3'!AE23</f>
        <v>3213</v>
      </c>
      <c r="U23" s="200">
        <f>'Table 1.1.3'!AF23</f>
        <v>1110</v>
      </c>
      <c r="V23" s="200">
        <f>'Table 1.1.3'!AG23</f>
        <v>2104</v>
      </c>
      <c r="W23" s="200">
        <f>'Table 1.1.3'!AH23</f>
        <v>13653</v>
      </c>
      <c r="X23" s="200">
        <f>'Table 1.1.3'!AI23</f>
        <v>3707</v>
      </c>
      <c r="Y23" s="200">
        <f>'Table 1.1.3'!AJ23</f>
        <v>267</v>
      </c>
      <c r="Z23" s="200">
        <f>'Table 1.1.3'!AK23</f>
        <v>3119</v>
      </c>
      <c r="AA23" s="200">
        <f>'Table 1.1.3'!AL23</f>
        <v>321</v>
      </c>
      <c r="AB23" s="200">
        <f>'Table 1.1.3'!AQ23</f>
        <v>7071</v>
      </c>
      <c r="AC23" s="200">
        <f>'Table 1.1.3'!AR23</f>
        <v>5126</v>
      </c>
      <c r="AD23" s="200">
        <f>'Table 1.1.3'!AS23</f>
        <v>266</v>
      </c>
      <c r="AE23" s="200">
        <f>'Table 1.1.3'!AT23</f>
        <v>1679</v>
      </c>
      <c r="AF23" s="200">
        <f>'Table 1.1.3'!AU23</f>
        <v>2874</v>
      </c>
      <c r="AG23" s="200">
        <f>'Table 1.1.3'!AV23</f>
        <v>1972</v>
      </c>
      <c r="AH23" s="200">
        <f>'Table 1.1.3'!AW23</f>
        <v>377</v>
      </c>
      <c r="AI23" s="200">
        <f>'Table 1.1.3'!AX23</f>
        <v>525</v>
      </c>
    </row>
    <row r="24" spans="1:35" ht="12.75" customHeight="1">
      <c r="A24" s="199">
        <v>1977</v>
      </c>
      <c r="B24" s="200">
        <f>'Table 1.1'!B54</f>
        <v>173979</v>
      </c>
      <c r="C24" s="200">
        <f t="shared" si="0"/>
        <v>47682.574000000001</v>
      </c>
      <c r="D24" s="200">
        <f t="shared" si="1"/>
        <v>23438.425999999999</v>
      </c>
      <c r="E24" s="200">
        <f t="shared" si="2"/>
        <v>102858</v>
      </c>
      <c r="F24" s="200">
        <f>'Table 1.1.3'!C24</f>
        <v>44996</v>
      </c>
      <c r="G24" s="200">
        <f>'Table 1.1.3'!D24</f>
        <v>92960</v>
      </c>
      <c r="H24" s="200">
        <f>'Table 1.1.3'!E24</f>
        <v>45538</v>
      </c>
      <c r="I24" s="200">
        <f>'Table 1.1.3'!F24</f>
        <v>22891</v>
      </c>
      <c r="J24" s="200">
        <f>'Table 1.1.3'!G24</f>
        <v>17464</v>
      </c>
      <c r="K24" s="200">
        <f>'Table 1.1.3'!H24</f>
        <v>9896</v>
      </c>
      <c r="L24" s="200">
        <f>'Table 1.1.3'!I24</f>
        <v>7568</v>
      </c>
      <c r="M24" s="200">
        <f t="shared" si="3"/>
        <v>7068</v>
      </c>
      <c r="N24" s="200">
        <f>SUM('Table 1.1.3'!K24,'Table 1.1.3'!M24:N24)</f>
        <v>7068</v>
      </c>
      <c r="O24" s="200">
        <f>'Table 1.1.3'!L24</f>
        <v>0</v>
      </c>
      <c r="P24" s="200">
        <f>'Table 1.1.3'!O24</f>
        <v>18238</v>
      </c>
      <c r="Q24" s="200">
        <f>'Table 1.1.4'!J24</f>
        <v>2850.5740000000001</v>
      </c>
      <c r="R24" s="200">
        <f>'Table 1.1.5'!G24</f>
        <v>10707.425999999999</v>
      </c>
      <c r="S24" s="200">
        <f>'Table 1.1.6'!F24</f>
        <v>4680</v>
      </c>
      <c r="T24" s="200">
        <f>'Table 1.1.3'!AE24</f>
        <v>3815</v>
      </c>
      <c r="U24" s="200">
        <f>'Table 1.1.3'!AF24</f>
        <v>1152</v>
      </c>
      <c r="V24" s="200">
        <f>'Table 1.1.3'!AG24</f>
        <v>2663</v>
      </c>
      <c r="W24" s="200">
        <f>'Table 1.1.3'!AH24</f>
        <v>13970</v>
      </c>
      <c r="X24" s="200">
        <f>'Table 1.1.3'!AI24</f>
        <v>3864</v>
      </c>
      <c r="Y24" s="200">
        <f>'Table 1.1.3'!AJ24</f>
        <v>220</v>
      </c>
      <c r="Z24" s="200">
        <f>'Table 1.1.3'!AK24</f>
        <v>3267</v>
      </c>
      <c r="AA24" s="200">
        <f>'Table 1.1.3'!AL24</f>
        <v>377</v>
      </c>
      <c r="AB24" s="200">
        <f>'Table 1.1.3'!AQ24</f>
        <v>6867</v>
      </c>
      <c r="AC24" s="200">
        <f>'Table 1.1.3'!AR24</f>
        <v>4995</v>
      </c>
      <c r="AD24" s="200">
        <f>'Table 1.1.3'!AS24</f>
        <v>334</v>
      </c>
      <c r="AE24" s="200">
        <f>'Table 1.1.3'!AT24</f>
        <v>1538</v>
      </c>
      <c r="AF24" s="200">
        <f>'Table 1.1.3'!AU24</f>
        <v>3238</v>
      </c>
      <c r="AG24" s="200">
        <f>'Table 1.1.3'!AV24</f>
        <v>2429</v>
      </c>
      <c r="AH24" s="200">
        <f>'Table 1.1.3'!AW24</f>
        <v>224</v>
      </c>
      <c r="AI24" s="200">
        <f>'Table 1.1.3'!AX24</f>
        <v>585</v>
      </c>
    </row>
    <row r="25" spans="1:35" ht="12.75" customHeight="1">
      <c r="A25" s="199">
        <v>1978</v>
      </c>
      <c r="B25" s="200">
        <f>'Table 1.1'!B55</f>
        <v>195528</v>
      </c>
      <c r="C25" s="200">
        <f t="shared" si="0"/>
        <v>54430.836000000003</v>
      </c>
      <c r="D25" s="200">
        <f t="shared" si="1"/>
        <v>26521.164000000001</v>
      </c>
      <c r="E25" s="200">
        <f t="shared" si="2"/>
        <v>114575.99999999999</v>
      </c>
      <c r="F25" s="200">
        <f>'Table 1.1.3'!C25</f>
        <v>48169</v>
      </c>
      <c r="G25" s="200">
        <f>'Table 1.1.3'!D25</f>
        <v>106407</v>
      </c>
      <c r="H25" s="200">
        <f>'Table 1.1.3'!E25</f>
        <v>52347</v>
      </c>
      <c r="I25" s="200">
        <f>'Table 1.1.3'!F25</f>
        <v>26668</v>
      </c>
      <c r="J25" s="200">
        <f>'Table 1.1.3'!G25</f>
        <v>19465</v>
      </c>
      <c r="K25" s="200">
        <f>'Table 1.1.3'!H25</f>
        <v>10919</v>
      </c>
      <c r="L25" s="200">
        <f>'Table 1.1.3'!I25</f>
        <v>8547</v>
      </c>
      <c r="M25" s="200">
        <f t="shared" si="3"/>
        <v>7926</v>
      </c>
      <c r="N25" s="200">
        <f>SUM('Table 1.1.3'!K25,'Table 1.1.3'!M25:N25)</f>
        <v>7926</v>
      </c>
      <c r="O25" s="200">
        <f>'Table 1.1.3'!L25</f>
        <v>0</v>
      </c>
      <c r="P25" s="200">
        <f>'Table 1.1.3'!O25</f>
        <v>20952</v>
      </c>
      <c r="Q25" s="200">
        <f>'Table 1.1.4'!J25</f>
        <v>3258.8360000000002</v>
      </c>
      <c r="R25" s="200">
        <f>'Table 1.1.5'!G25</f>
        <v>11910.164000000001</v>
      </c>
      <c r="S25" s="200">
        <f>'Table 1.1.6'!F25</f>
        <v>5782</v>
      </c>
      <c r="T25" s="200">
        <f>'Table 1.1.3'!AE25</f>
        <v>4588</v>
      </c>
      <c r="U25" s="200">
        <f>'Table 1.1.3'!AF25</f>
        <v>1154</v>
      </c>
      <c r="V25" s="200">
        <f>'Table 1.1.3'!AG25</f>
        <v>3434</v>
      </c>
      <c r="W25" s="200">
        <f>'Table 1.1.3'!AH25</f>
        <v>15411</v>
      </c>
      <c r="X25" s="200">
        <f>'Table 1.1.3'!AI25</f>
        <v>4438</v>
      </c>
      <c r="Y25" s="200">
        <f>'Table 1.1.3'!AJ25</f>
        <v>236</v>
      </c>
      <c r="Z25" s="200">
        <f>'Table 1.1.3'!AK25</f>
        <v>3760</v>
      </c>
      <c r="AA25" s="200">
        <f>'Table 1.1.3'!AL25</f>
        <v>442</v>
      </c>
      <c r="AB25" s="200">
        <f>'Table 1.1.3'!AQ25</f>
        <v>6970</v>
      </c>
      <c r="AC25" s="200">
        <f>'Table 1.1.3'!AR25</f>
        <v>5092</v>
      </c>
      <c r="AD25" s="200">
        <f>'Table 1.1.3'!AS25</f>
        <v>382</v>
      </c>
      <c r="AE25" s="200">
        <f>'Table 1.1.3'!AT25</f>
        <v>1496</v>
      </c>
      <c r="AF25" s="200">
        <f>'Table 1.1.3'!AU25</f>
        <v>4004</v>
      </c>
      <c r="AG25" s="200">
        <f>'Table 1.1.3'!AV25</f>
        <v>2949</v>
      </c>
      <c r="AH25" s="200">
        <f>'Table 1.1.3'!AW25</f>
        <v>363</v>
      </c>
      <c r="AI25" s="200">
        <f>'Table 1.1.3'!AX25</f>
        <v>692</v>
      </c>
    </row>
    <row r="26" spans="1:35" ht="12.75" customHeight="1">
      <c r="A26" s="199">
        <v>1979</v>
      </c>
      <c r="B26" s="200">
        <f>'Table 1.1'!B56</f>
        <v>221658</v>
      </c>
      <c r="C26" s="200">
        <f t="shared" si="0"/>
        <v>61652.44</v>
      </c>
      <c r="D26" s="200">
        <f t="shared" si="1"/>
        <v>30572.560000000001</v>
      </c>
      <c r="E26" s="200">
        <f t="shared" si="2"/>
        <v>129433</v>
      </c>
      <c r="F26" s="200">
        <f>'Table 1.1.3'!C26</f>
        <v>52473</v>
      </c>
      <c r="G26" s="200">
        <f>'Table 1.1.3'!D26</f>
        <v>122553</v>
      </c>
      <c r="H26" s="200">
        <f>'Table 1.1.3'!E26</f>
        <v>60768</v>
      </c>
      <c r="I26" s="200">
        <f>'Table 1.1.3'!F26</f>
        <v>30922</v>
      </c>
      <c r="J26" s="200">
        <f>'Table 1.1.3'!G26</f>
        <v>22332</v>
      </c>
      <c r="K26" s="200">
        <f>'Table 1.1.3'!H26</f>
        <v>12705</v>
      </c>
      <c r="L26" s="200">
        <f>'Table 1.1.3'!I26</f>
        <v>9627</v>
      </c>
      <c r="M26" s="200">
        <f t="shared" si="3"/>
        <v>8530</v>
      </c>
      <c r="N26" s="200">
        <f>SUM('Table 1.1.3'!K26,'Table 1.1.3'!M26:N26)</f>
        <v>8530</v>
      </c>
      <c r="O26" s="200">
        <f>'Table 1.1.3'!L26</f>
        <v>0</v>
      </c>
      <c r="P26" s="200">
        <f>'Table 1.1.3'!O26</f>
        <v>24247</v>
      </c>
      <c r="Q26" s="200">
        <f>'Table 1.1.4'!J26</f>
        <v>3650.44</v>
      </c>
      <c r="R26" s="200">
        <f>'Table 1.1.5'!G26</f>
        <v>13684.560000000001</v>
      </c>
      <c r="S26" s="200">
        <f>'Table 1.1.6'!F26</f>
        <v>6912</v>
      </c>
      <c r="T26" s="200">
        <f>'Table 1.1.3'!AE26</f>
        <v>5375</v>
      </c>
      <c r="U26" s="200">
        <f>'Table 1.1.3'!AF26</f>
        <v>1108</v>
      </c>
      <c r="V26" s="200">
        <f>'Table 1.1.3'!AG26</f>
        <v>4267</v>
      </c>
      <c r="W26" s="200">
        <f>'Table 1.1.3'!AH26</f>
        <v>17009</v>
      </c>
      <c r="X26" s="200">
        <f>'Table 1.1.3'!AI26</f>
        <v>4805</v>
      </c>
      <c r="Y26" s="200">
        <f>'Table 1.1.3'!AJ26</f>
        <v>254</v>
      </c>
      <c r="Z26" s="200">
        <f>'Table 1.1.3'!AK26</f>
        <v>4082</v>
      </c>
      <c r="AA26" s="200">
        <f>'Table 1.1.3'!AL26</f>
        <v>469</v>
      </c>
      <c r="AB26" s="200">
        <f>'Table 1.1.3'!AQ26</f>
        <v>7432</v>
      </c>
      <c r="AC26" s="200">
        <f>'Table 1.1.3'!AR26</f>
        <v>5386</v>
      </c>
      <c r="AD26" s="200">
        <f>'Table 1.1.3'!AS26</f>
        <v>370</v>
      </c>
      <c r="AE26" s="200">
        <f>'Table 1.1.3'!AT26</f>
        <v>1675</v>
      </c>
      <c r="AF26" s="200">
        <f>'Table 1.1.3'!AU26</f>
        <v>4772</v>
      </c>
      <c r="AG26" s="200">
        <f>'Table 1.1.3'!AV26</f>
        <v>3638</v>
      </c>
      <c r="AH26" s="200">
        <f>'Table 1.1.3'!AW26</f>
        <v>285</v>
      </c>
      <c r="AI26" s="200">
        <f>'Table 1.1.3'!AX26</f>
        <v>850</v>
      </c>
    </row>
    <row r="27" spans="1:35" ht="18" customHeight="1">
      <c r="A27" s="199">
        <v>1980</v>
      </c>
      <c r="B27" s="200">
        <f>'Table 1.1'!B57</f>
        <v>255784</v>
      </c>
      <c r="C27" s="200">
        <f t="shared" si="0"/>
        <v>72643.716</v>
      </c>
      <c r="D27" s="200">
        <f t="shared" si="1"/>
        <v>35240.284</v>
      </c>
      <c r="E27" s="200">
        <f t="shared" si="2"/>
        <v>147900</v>
      </c>
      <c r="F27" s="200">
        <f>'Table 1.1.3'!C27</f>
        <v>58396</v>
      </c>
      <c r="G27" s="200">
        <f>'Table 1.1.3'!D27</f>
        <v>142155</v>
      </c>
      <c r="H27" s="200">
        <f>'Table 1.1.3'!E27</f>
        <v>69047</v>
      </c>
      <c r="I27" s="200">
        <f>'Table 1.1.3'!F27</f>
        <v>37387</v>
      </c>
      <c r="J27" s="200">
        <f>'Table 1.1.3'!G27</f>
        <v>26032</v>
      </c>
      <c r="K27" s="200">
        <f>'Table 1.1.3'!H27</f>
        <v>14521</v>
      </c>
      <c r="L27" s="200">
        <f>'Table 1.1.3'!I27</f>
        <v>11511</v>
      </c>
      <c r="M27" s="200">
        <f t="shared" si="3"/>
        <v>9689</v>
      </c>
      <c r="N27" s="200">
        <f>SUM('Table 1.1.3'!K27,'Table 1.1.3'!M27:N27)</f>
        <v>9689</v>
      </c>
      <c r="O27" s="200">
        <f>'Table 1.1.3'!L27</f>
        <v>0</v>
      </c>
      <c r="P27" s="200">
        <f>'Table 1.1.3'!O27</f>
        <v>28685</v>
      </c>
      <c r="Q27" s="200">
        <f>'Table 1.1.4'!J27</f>
        <v>4172.7160000000003</v>
      </c>
      <c r="R27" s="200">
        <f>'Table 1.1.5'!G27</f>
        <v>15067.284</v>
      </c>
      <c r="S27" s="200">
        <f>'Table 1.1.6'!F27</f>
        <v>9443</v>
      </c>
      <c r="T27" s="200">
        <f>'Table 1.1.3'!AE27</f>
        <v>6445</v>
      </c>
      <c r="U27" s="200">
        <f>'Table 1.1.3'!AF27</f>
        <v>1235</v>
      </c>
      <c r="V27" s="200">
        <f>'Table 1.1.3'!AG27</f>
        <v>5210</v>
      </c>
      <c r="W27" s="200">
        <f>'Table 1.1.3'!AH27</f>
        <v>20103</v>
      </c>
      <c r="X27" s="200">
        <f>'Table 1.1.3'!AI27</f>
        <v>5429</v>
      </c>
      <c r="Y27" s="200">
        <f>'Table 1.1.3'!AJ27</f>
        <v>292</v>
      </c>
      <c r="Z27" s="200">
        <f>'Table 1.1.3'!AK27</f>
        <v>4616</v>
      </c>
      <c r="AA27" s="200">
        <f>'Table 1.1.3'!AL27</f>
        <v>520</v>
      </c>
      <c r="AB27" s="200">
        <f>'Table 1.1.3'!AQ27</f>
        <v>8585</v>
      </c>
      <c r="AC27" s="200">
        <f>'Table 1.1.3'!AR27</f>
        <v>6213</v>
      </c>
      <c r="AD27" s="200">
        <f>'Table 1.1.3'!AS27</f>
        <v>439</v>
      </c>
      <c r="AE27" s="200">
        <f>'Table 1.1.3'!AT27</f>
        <v>1933</v>
      </c>
      <c r="AF27" s="200">
        <f>'Table 1.1.3'!AU27</f>
        <v>6089</v>
      </c>
      <c r="AG27" s="200">
        <f>'Table 1.1.3'!AV27</f>
        <v>4506</v>
      </c>
      <c r="AH27" s="200">
        <f>'Table 1.1.3'!AW27</f>
        <v>584</v>
      </c>
      <c r="AI27" s="200">
        <f>'Table 1.1.3'!AX27</f>
        <v>999</v>
      </c>
    </row>
    <row r="28" spans="1:35" ht="12.75" customHeight="1">
      <c r="A28" s="199">
        <v>1981</v>
      </c>
      <c r="B28" s="200">
        <f>'Table 1.1'!B58</f>
        <v>296739</v>
      </c>
      <c r="C28" s="200">
        <f t="shared" si="0"/>
        <v>84052.319000000003</v>
      </c>
      <c r="D28" s="200">
        <f t="shared" si="1"/>
        <v>40425.680999999997</v>
      </c>
      <c r="E28" s="200">
        <f t="shared" si="2"/>
        <v>172261</v>
      </c>
      <c r="F28" s="200">
        <f>'Table 1.1.3'!C28</f>
        <v>65629</v>
      </c>
      <c r="G28" s="200">
        <f>'Table 1.1.3'!D28</f>
        <v>167534</v>
      </c>
      <c r="H28" s="200">
        <f>'Table 1.1.3'!E28</f>
        <v>81608</v>
      </c>
      <c r="I28" s="200">
        <f>'Table 1.1.3'!F28</f>
        <v>44769</v>
      </c>
      <c r="J28" s="200">
        <f>'Table 1.1.3'!G28</f>
        <v>30307</v>
      </c>
      <c r="K28" s="200">
        <f>'Table 1.1.3'!H28</f>
        <v>16902</v>
      </c>
      <c r="L28" s="200">
        <f>'Table 1.1.3'!I28</f>
        <v>13405</v>
      </c>
      <c r="M28" s="200">
        <f t="shared" si="3"/>
        <v>10849</v>
      </c>
      <c r="N28" s="200">
        <f>SUM('Table 1.1.3'!K28,'Table 1.1.3'!M28:N28)</f>
        <v>10849</v>
      </c>
      <c r="O28" s="200">
        <f>'Table 1.1.3'!L28</f>
        <v>0</v>
      </c>
      <c r="P28" s="200">
        <f>'Table 1.1.3'!O28</f>
        <v>32958</v>
      </c>
      <c r="Q28" s="200">
        <f>'Table 1.1.4'!J28</f>
        <v>4211.3190000000004</v>
      </c>
      <c r="R28" s="200">
        <f>'Table 1.1.5'!G28</f>
        <v>17107.681</v>
      </c>
      <c r="S28" s="200">
        <f>'Table 1.1.6'!F28</f>
        <v>11639</v>
      </c>
      <c r="T28" s="200">
        <f>'Table 1.1.3'!AE28</f>
        <v>7531</v>
      </c>
      <c r="U28" s="200">
        <f>'Table 1.1.3'!AF28</f>
        <v>1216</v>
      </c>
      <c r="V28" s="200">
        <f>'Table 1.1.3'!AG28</f>
        <v>6316</v>
      </c>
      <c r="W28" s="200">
        <f>'Table 1.1.3'!AH28</f>
        <v>23087</v>
      </c>
      <c r="X28" s="200">
        <f>'Table 1.1.3'!AI28</f>
        <v>5705</v>
      </c>
      <c r="Y28" s="200">
        <f>'Table 1.1.3'!AJ28</f>
        <v>312</v>
      </c>
      <c r="Z28" s="200">
        <f>'Table 1.1.3'!AK28</f>
        <v>4790</v>
      </c>
      <c r="AA28" s="200">
        <f>'Table 1.1.3'!AL28</f>
        <v>602</v>
      </c>
      <c r="AB28" s="200">
        <f>'Table 1.1.3'!AQ28</f>
        <v>9996</v>
      </c>
      <c r="AC28" s="200">
        <f>'Table 1.1.3'!AR28</f>
        <v>7580</v>
      </c>
      <c r="AD28" s="200">
        <f>'Table 1.1.3'!AS28</f>
        <v>570</v>
      </c>
      <c r="AE28" s="200">
        <f>'Table 1.1.3'!AT28</f>
        <v>1845</v>
      </c>
      <c r="AF28" s="200">
        <f>'Table 1.1.3'!AU28</f>
        <v>7387</v>
      </c>
      <c r="AG28" s="200">
        <f>'Table 1.1.3'!AV28</f>
        <v>5492</v>
      </c>
      <c r="AH28" s="200">
        <f>'Table 1.1.3'!AW28</f>
        <v>745</v>
      </c>
      <c r="AI28" s="200">
        <f>'Table 1.1.3'!AX28</f>
        <v>1150</v>
      </c>
    </row>
    <row r="29" spans="1:35" ht="12.75" customHeight="1">
      <c r="A29" s="199">
        <v>1982</v>
      </c>
      <c r="B29" s="200">
        <f>'Table 1.1'!B59</f>
        <v>334699</v>
      </c>
      <c r="C29" s="200">
        <f t="shared" si="0"/>
        <v>93508.853000000003</v>
      </c>
      <c r="D29" s="200">
        <f t="shared" si="1"/>
        <v>44406.146999999997</v>
      </c>
      <c r="E29" s="200">
        <f t="shared" si="2"/>
        <v>196784</v>
      </c>
      <c r="F29" s="200">
        <f>'Table 1.1.3'!C29</f>
        <v>72739</v>
      </c>
      <c r="G29" s="200">
        <f>'Table 1.1.3'!D29</f>
        <v>190437</v>
      </c>
      <c r="H29" s="200">
        <f>'Table 1.1.3'!E29</f>
        <v>94012</v>
      </c>
      <c r="I29" s="200">
        <f>'Table 1.1.3'!F29</f>
        <v>52351</v>
      </c>
      <c r="J29" s="200">
        <f>'Table 1.1.3'!G29</f>
        <v>32011</v>
      </c>
      <c r="K29" s="200">
        <f>'Table 1.1.3'!H29</f>
        <v>17843</v>
      </c>
      <c r="L29" s="200">
        <f>'Table 1.1.3'!I29</f>
        <v>14168</v>
      </c>
      <c r="M29" s="200">
        <f t="shared" si="3"/>
        <v>12063</v>
      </c>
      <c r="N29" s="200">
        <f>SUM('Table 1.1.3'!K29,'Table 1.1.3'!M29:N29)</f>
        <v>12063</v>
      </c>
      <c r="O29" s="200">
        <f>'Table 1.1.3'!L29</f>
        <v>0</v>
      </c>
      <c r="P29" s="200">
        <f>'Table 1.1.3'!O29</f>
        <v>36494</v>
      </c>
      <c r="Q29" s="200">
        <f>'Table 1.1.4'!J29</f>
        <v>3928.8530000000001</v>
      </c>
      <c r="R29" s="200">
        <f>'Table 1.1.5'!G29</f>
        <v>18826.147000000001</v>
      </c>
      <c r="S29" s="200">
        <f>'Table 1.1.6'!F29</f>
        <v>13739</v>
      </c>
      <c r="T29" s="200">
        <f>'Table 1.1.3'!AE29</f>
        <v>8621</v>
      </c>
      <c r="U29" s="200">
        <f>'Table 1.1.3'!AF29</f>
        <v>1141</v>
      </c>
      <c r="V29" s="200">
        <f>'Table 1.1.3'!AG29</f>
        <v>7480</v>
      </c>
      <c r="W29" s="200">
        <f>'Table 1.1.3'!AH29</f>
        <v>26409</v>
      </c>
      <c r="X29" s="200">
        <f>'Table 1.1.3'!AI29</f>
        <v>6025</v>
      </c>
      <c r="Y29" s="200">
        <f>'Table 1.1.3'!AJ29</f>
        <v>390</v>
      </c>
      <c r="Z29" s="200">
        <f>'Table 1.1.3'!AK29</f>
        <v>4955</v>
      </c>
      <c r="AA29" s="200">
        <f>'Table 1.1.3'!AL29</f>
        <v>680</v>
      </c>
      <c r="AB29" s="200">
        <f>'Table 1.1.3'!AQ29</f>
        <v>11567</v>
      </c>
      <c r="AC29" s="200">
        <f>'Table 1.1.3'!AR29</f>
        <v>9147</v>
      </c>
      <c r="AD29" s="200">
        <f>'Table 1.1.3'!AS29</f>
        <v>528</v>
      </c>
      <c r="AE29" s="200">
        <f>'Table 1.1.3'!AT29</f>
        <v>1892</v>
      </c>
      <c r="AF29" s="200">
        <f>'Table 1.1.3'!AU29</f>
        <v>8817</v>
      </c>
      <c r="AG29" s="200">
        <f>'Table 1.1.3'!AV29</f>
        <v>6758</v>
      </c>
      <c r="AH29" s="200">
        <f>'Table 1.1.3'!AW29</f>
        <v>699</v>
      </c>
      <c r="AI29" s="200">
        <f>'Table 1.1.3'!AX29</f>
        <v>1360</v>
      </c>
    </row>
    <row r="30" spans="1:35" ht="12.75" customHeight="1">
      <c r="A30" s="199">
        <v>1983</v>
      </c>
      <c r="B30" s="200">
        <f>'Table 1.1'!B60</f>
        <v>368987</v>
      </c>
      <c r="C30" s="200">
        <f t="shared" si="0"/>
        <v>103787.465</v>
      </c>
      <c r="D30" s="200">
        <f t="shared" si="1"/>
        <v>47634.535000000003</v>
      </c>
      <c r="E30" s="200">
        <f t="shared" si="2"/>
        <v>217565.00000000003</v>
      </c>
      <c r="F30" s="200">
        <f>'Table 1.1.3'!C30</f>
        <v>78924</v>
      </c>
      <c r="G30" s="200">
        <f>'Table 1.1.3'!D30</f>
        <v>212507</v>
      </c>
      <c r="H30" s="200">
        <f>'Table 1.1.3'!E30</f>
        <v>104894</v>
      </c>
      <c r="I30" s="200">
        <f>'Table 1.1.3'!F30</f>
        <v>59559</v>
      </c>
      <c r="J30" s="200">
        <f>'Table 1.1.3'!G30</f>
        <v>35266</v>
      </c>
      <c r="K30" s="200">
        <f>'Table 1.1.3'!H30</f>
        <v>19587</v>
      </c>
      <c r="L30" s="200">
        <f>'Table 1.1.3'!I30</f>
        <v>15679</v>
      </c>
      <c r="M30" s="200">
        <f t="shared" si="3"/>
        <v>12789</v>
      </c>
      <c r="N30" s="200">
        <f>SUM('Table 1.1.3'!K30,'Table 1.1.3'!M30:N30)</f>
        <v>12789</v>
      </c>
      <c r="O30" s="200">
        <f>'Table 1.1.3'!L30</f>
        <v>0</v>
      </c>
      <c r="P30" s="200">
        <f>'Table 1.1.3'!O30</f>
        <v>39043</v>
      </c>
      <c r="Q30" s="200">
        <f>'Table 1.1.4'!J30</f>
        <v>3868.4650000000001</v>
      </c>
      <c r="R30" s="200">
        <f>'Table 1.1.5'!G30</f>
        <v>19935.535</v>
      </c>
      <c r="S30" s="200">
        <f>'Table 1.1.6'!F30</f>
        <v>15238</v>
      </c>
      <c r="T30" s="200">
        <f>'Table 1.1.3'!AE30</f>
        <v>9251</v>
      </c>
      <c r="U30" s="200">
        <f>'Table 1.1.3'!AF30</f>
        <v>1232</v>
      </c>
      <c r="V30" s="200">
        <f>'Table 1.1.3'!AG30</f>
        <v>8019</v>
      </c>
      <c r="W30" s="200">
        <f>'Table 1.1.3'!AH30</f>
        <v>29261</v>
      </c>
      <c r="X30" s="200">
        <f>'Table 1.1.3'!AI30</f>
        <v>6543</v>
      </c>
      <c r="Y30" s="200">
        <f>'Table 1.1.3'!AJ30</f>
        <v>456</v>
      </c>
      <c r="Z30" s="200">
        <f>'Table 1.1.3'!AK30</f>
        <v>5331</v>
      </c>
      <c r="AA30" s="200">
        <f>'Table 1.1.3'!AL30</f>
        <v>756</v>
      </c>
      <c r="AB30" s="200">
        <f>'Table 1.1.3'!AQ30</f>
        <v>12483</v>
      </c>
      <c r="AC30" s="200">
        <f>'Table 1.1.3'!AR30</f>
        <v>10271</v>
      </c>
      <c r="AD30" s="200">
        <f>'Table 1.1.3'!AS70</f>
        <v>0</v>
      </c>
      <c r="AE30" s="200">
        <f>'Table 1.1.3'!AT30</f>
        <v>1708</v>
      </c>
      <c r="AF30" s="200">
        <f>'Table 1.1.3'!AU30</f>
        <v>10235</v>
      </c>
      <c r="AG30" s="200">
        <f>'Table 1.1.3'!AV30</f>
        <v>7276</v>
      </c>
      <c r="AH30" s="200">
        <f>'Table 1.1.3'!AW30</f>
        <v>1421</v>
      </c>
      <c r="AI30" s="200">
        <f>'Table 1.1.3'!AX30</f>
        <v>1537</v>
      </c>
    </row>
    <row r="31" spans="1:35" ht="12.75" customHeight="1">
      <c r="A31" s="199">
        <v>1984</v>
      </c>
      <c r="B31" s="200">
        <f>'Table 1.1'!B61</f>
        <v>406512</v>
      </c>
      <c r="C31" s="200">
        <f t="shared" si="0"/>
        <v>114472.235</v>
      </c>
      <c r="D31" s="200">
        <f t="shared" si="1"/>
        <v>50796.764999999999</v>
      </c>
      <c r="E31" s="200">
        <f t="shared" si="2"/>
        <v>241243</v>
      </c>
      <c r="F31" s="200">
        <f>'Table 1.1.3'!C31</f>
        <v>86824</v>
      </c>
      <c r="G31" s="200">
        <f>'Table 1.1.3'!D31</f>
        <v>237236</v>
      </c>
      <c r="H31" s="200">
        <f>'Table 1.1.3'!E31</f>
        <v>118884</v>
      </c>
      <c r="I31" s="200">
        <f>'Table 1.1.3'!F31</f>
        <v>66207</v>
      </c>
      <c r="J31" s="200">
        <f>'Table 1.1.3'!G31</f>
        <v>38233</v>
      </c>
      <c r="K31" s="200">
        <f>'Table 1.1.3'!H31</f>
        <v>21096</v>
      </c>
      <c r="L31" s="200">
        <f>'Table 1.1.3'!I31</f>
        <v>17137</v>
      </c>
      <c r="M31" s="200">
        <f t="shared" si="3"/>
        <v>13912</v>
      </c>
      <c r="N31" s="200">
        <f>SUM('Table 1.1.3'!K31,'Table 1.1.3'!M31:N31)</f>
        <v>13912</v>
      </c>
      <c r="O31" s="200">
        <f>'Table 1.1.3'!L31</f>
        <v>0</v>
      </c>
      <c r="P31" s="200">
        <f>'Table 1.1.3'!O31</f>
        <v>41614</v>
      </c>
      <c r="Q31" s="200">
        <f>'Table 1.1.4'!J31</f>
        <v>3894.2350000000001</v>
      </c>
      <c r="R31" s="200">
        <f>'Table 1.1.5'!G31</f>
        <v>20801.764999999999</v>
      </c>
      <c r="S31" s="200">
        <f>'Table 1.1.6'!F31</f>
        <v>16919</v>
      </c>
      <c r="T31" s="200">
        <f>'Table 1.1.3'!AE31</f>
        <v>9842</v>
      </c>
      <c r="U31" s="200">
        <f>'Table 1.1.3'!AF31</f>
        <v>1298</v>
      </c>
      <c r="V31" s="200">
        <f>'Table 1.1.3'!AG31</f>
        <v>8544</v>
      </c>
      <c r="W31" s="200">
        <f>'Table 1.1.3'!AH31</f>
        <v>30996</v>
      </c>
      <c r="X31" s="200">
        <f>'Table 1.1.3'!AI31</f>
        <v>7608</v>
      </c>
      <c r="Y31" s="200">
        <f>'Table 1.1.3'!AJ31</f>
        <v>507</v>
      </c>
      <c r="Z31" s="200">
        <f>'Table 1.1.3'!AK31</f>
        <v>6269</v>
      </c>
      <c r="AA31" s="200">
        <f>'Table 1.1.3'!AL31</f>
        <v>832</v>
      </c>
      <c r="AB31" s="200">
        <f>'Table 1.1.3'!AQ31</f>
        <v>12199</v>
      </c>
      <c r="AC31" s="200">
        <f>'Table 1.1.3'!AR31</f>
        <v>9914</v>
      </c>
      <c r="AD31" s="200">
        <f>'Table 1.1.3'!AS71</f>
        <v>0</v>
      </c>
      <c r="AE31" s="200">
        <f>'Table 1.1.3'!AT31</f>
        <v>1690</v>
      </c>
      <c r="AF31" s="200">
        <f>'Table 1.1.3'!AU31</f>
        <v>11189</v>
      </c>
      <c r="AG31" s="200">
        <f>'Table 1.1.3'!AV31</f>
        <v>7601</v>
      </c>
      <c r="AH31" s="200">
        <f>'Table 1.1.3'!AW31</f>
        <v>1796</v>
      </c>
      <c r="AI31" s="200">
        <f>'Table 1.1.3'!AX31</f>
        <v>1792</v>
      </c>
    </row>
    <row r="32" spans="1:35" ht="12.75" customHeight="1">
      <c r="A32" s="199">
        <v>1985</v>
      </c>
      <c r="B32" s="200">
        <f>'Table 1.1'!B62</f>
        <v>444608</v>
      </c>
      <c r="C32" s="200">
        <f t="shared" si="0"/>
        <v>123729.37699999999</v>
      </c>
      <c r="D32" s="200">
        <f t="shared" si="1"/>
        <v>56064.623</v>
      </c>
      <c r="E32" s="200">
        <f t="shared" si="2"/>
        <v>264814</v>
      </c>
      <c r="F32" s="200">
        <f>'Table 1.1.3'!C32</f>
        <v>95977</v>
      </c>
      <c r="G32" s="200">
        <f>'Table 1.1.3'!D32</f>
        <v>259152</v>
      </c>
      <c r="H32" s="200">
        <f>'Table 1.1.3'!E32</f>
        <v>131191</v>
      </c>
      <c r="I32" s="200">
        <f>'Table 1.1.3'!F32</f>
        <v>71829</v>
      </c>
      <c r="J32" s="200">
        <f>'Table 1.1.3'!G32</f>
        <v>40937</v>
      </c>
      <c r="K32" s="200">
        <f>'Table 1.1.3'!H32</f>
        <v>22594</v>
      </c>
      <c r="L32" s="200">
        <f>'Table 1.1.3'!I32</f>
        <v>18343</v>
      </c>
      <c r="M32" s="200">
        <f t="shared" si="3"/>
        <v>15196</v>
      </c>
      <c r="N32" s="200">
        <f>SUM('Table 1.1.3'!K32,'Table 1.1.3'!M32:N32)</f>
        <v>15196</v>
      </c>
      <c r="O32" s="200">
        <f>'Table 1.1.3'!L32</f>
        <v>0</v>
      </c>
      <c r="P32" s="200">
        <f>'Table 1.1.3'!O32</f>
        <v>47025</v>
      </c>
      <c r="Q32" s="200">
        <f>'Table 1.1.4'!J32</f>
        <v>4032.377</v>
      </c>
      <c r="R32" s="200">
        <f>'Table 1.1.5'!G32</f>
        <v>23101.623</v>
      </c>
      <c r="S32" s="200">
        <f>'Table 1.1.6'!F32</f>
        <v>19890</v>
      </c>
      <c r="T32" s="200">
        <f>'Table 1.1.3'!AE32</f>
        <v>11212</v>
      </c>
      <c r="U32" s="200">
        <f>'Table 1.1.3'!AF32</f>
        <v>1326</v>
      </c>
      <c r="V32" s="200">
        <f>'Table 1.1.3'!AG32</f>
        <v>9886</v>
      </c>
      <c r="W32" s="200">
        <f>'Table 1.1.3'!AH32</f>
        <v>31241</v>
      </c>
      <c r="X32" s="200">
        <f>'Table 1.1.3'!AI32</f>
        <v>8320</v>
      </c>
      <c r="Y32" s="200">
        <f>'Table 1.1.3'!AJ32</f>
        <v>539</v>
      </c>
      <c r="Z32" s="200">
        <f>'Table 1.1.3'!AK32</f>
        <v>6830</v>
      </c>
      <c r="AA32" s="200">
        <f>'Table 1.1.3'!AL32</f>
        <v>951</v>
      </c>
      <c r="AB32" s="200">
        <f>'Table 1.1.3'!AQ32</f>
        <v>11225</v>
      </c>
      <c r="AC32" s="200">
        <f>'Table 1.1.3'!AR32</f>
        <v>8849</v>
      </c>
      <c r="AD32" s="200">
        <f>'Table 1.1.3'!AS72</f>
        <v>0</v>
      </c>
      <c r="AE32" s="200">
        <f>'Table 1.1.3'!AT32</f>
        <v>1737</v>
      </c>
      <c r="AF32" s="200">
        <f>'Table 1.1.3'!AU32</f>
        <v>11696</v>
      </c>
      <c r="AG32" s="200">
        <f>'Table 1.1.3'!AV32</f>
        <v>7727</v>
      </c>
      <c r="AH32" s="200">
        <f>'Table 1.1.3'!AW32</f>
        <v>1922</v>
      </c>
      <c r="AI32" s="200">
        <f>'Table 1.1.3'!AX32</f>
        <v>2046</v>
      </c>
    </row>
    <row r="33" spans="1:35" ht="12.75" customHeight="1">
      <c r="A33" s="199">
        <v>1986</v>
      </c>
      <c r="B33" s="200">
        <f>'Table 1.1'!B63</f>
        <v>476892</v>
      </c>
      <c r="C33" s="200">
        <f t="shared" si="0"/>
        <v>133294.04700000002</v>
      </c>
      <c r="D33" s="200">
        <f t="shared" si="1"/>
        <v>63253.953000000001</v>
      </c>
      <c r="E33" s="200">
        <f t="shared" si="2"/>
        <v>280344</v>
      </c>
      <c r="F33" s="200">
        <f>'Table 1.1.3'!C33</f>
        <v>104035</v>
      </c>
      <c r="G33" s="200">
        <f>'Table 1.1.3'!D33</f>
        <v>274648</v>
      </c>
      <c r="H33" s="200">
        <f>'Table 1.1.3'!E33</f>
        <v>136026</v>
      </c>
      <c r="I33" s="200">
        <f>'Table 1.1.3'!F33</f>
        <v>76829</v>
      </c>
      <c r="J33" s="200">
        <f>'Table 1.1.3'!G33</f>
        <v>45383</v>
      </c>
      <c r="K33" s="200">
        <f>'Table 1.1.3'!H33</f>
        <v>25187</v>
      </c>
      <c r="L33" s="200">
        <f>'Table 1.1.3'!I33</f>
        <v>20196</v>
      </c>
      <c r="M33" s="200">
        <f t="shared" si="3"/>
        <v>16409</v>
      </c>
      <c r="N33" s="200">
        <f>SUM('Table 1.1.3'!K33,'Table 1.1.3'!M33:N33)</f>
        <v>16409</v>
      </c>
      <c r="O33" s="200">
        <f>'Table 1.1.3'!L33</f>
        <v>0</v>
      </c>
      <c r="P33" s="200">
        <f>'Table 1.1.3'!O33</f>
        <v>53316</v>
      </c>
      <c r="Q33" s="200">
        <f>'Table 1.1.4'!J33</f>
        <v>4080.047</v>
      </c>
      <c r="R33" s="200">
        <f>'Table 1.1.5'!G33</f>
        <v>26886.953000000001</v>
      </c>
      <c r="S33" s="200">
        <f>'Table 1.1.6'!F33</f>
        <v>22350</v>
      </c>
      <c r="T33" s="200">
        <f>'Table 1.1.3'!AE33</f>
        <v>12387</v>
      </c>
      <c r="U33" s="200">
        <f>'Table 1.1.3'!AF33</f>
        <v>1340</v>
      </c>
      <c r="V33" s="200">
        <f>'Table 1.1.3'!AG33</f>
        <v>11047</v>
      </c>
      <c r="W33" s="200">
        <f>'Table 1.1.3'!AH33</f>
        <v>32507</v>
      </c>
      <c r="X33" s="200">
        <f>'Table 1.1.3'!AI33</f>
        <v>9002</v>
      </c>
      <c r="Y33" s="200">
        <f>'Table 1.1.3'!AJ33</f>
        <v>782</v>
      </c>
      <c r="Z33" s="200">
        <f>'Table 1.1.3'!AK33</f>
        <v>7114</v>
      </c>
      <c r="AA33" s="200">
        <f>'Table 1.1.3'!AL33</f>
        <v>1107</v>
      </c>
      <c r="AB33" s="200">
        <f>'Table 1.1.3'!AQ33</f>
        <v>11105</v>
      </c>
      <c r="AC33" s="200">
        <f>'Table 1.1.3'!AR33</f>
        <v>8570</v>
      </c>
      <c r="AD33" s="200">
        <f>'Table 1.1.3'!AS73</f>
        <v>0</v>
      </c>
      <c r="AE33" s="200">
        <f>'Table 1.1.3'!AT33</f>
        <v>1837</v>
      </c>
      <c r="AF33" s="200">
        <f>'Table 1.1.3'!AU33</f>
        <v>12399</v>
      </c>
      <c r="AG33" s="200">
        <f>'Table 1.1.3'!AV33</f>
        <v>7885</v>
      </c>
      <c r="AH33" s="200">
        <f>'Table 1.1.3'!AW33</f>
        <v>2335</v>
      </c>
      <c r="AI33" s="200">
        <f>'Table 1.1.3'!AX33</f>
        <v>2180</v>
      </c>
    </row>
    <row r="34" spans="1:35" ht="12.75" customHeight="1">
      <c r="A34" s="199">
        <v>1987</v>
      </c>
      <c r="B34" s="200">
        <f>'Table 1.1'!B64</f>
        <v>519117</v>
      </c>
      <c r="C34" s="200">
        <f t="shared" si="0"/>
        <v>144932.842</v>
      </c>
      <c r="D34" s="200">
        <f t="shared" si="1"/>
        <v>70387.157999999996</v>
      </c>
      <c r="E34" s="200">
        <f t="shared" si="2"/>
        <v>303797</v>
      </c>
      <c r="F34" s="200">
        <f>'Table 1.1.3'!C34</f>
        <v>110162</v>
      </c>
      <c r="G34" s="200">
        <f>'Table 1.1.3'!D34</f>
        <v>300069</v>
      </c>
      <c r="H34" s="200">
        <f>'Table 1.1.3'!E34</f>
        <v>149211</v>
      </c>
      <c r="I34" s="200">
        <f>'Table 1.1.3'!F34</f>
        <v>83081</v>
      </c>
      <c r="J34" s="200">
        <f>'Table 1.1.3'!G34</f>
        <v>50339</v>
      </c>
      <c r="K34" s="200">
        <f>'Table 1.1.3'!H34</f>
        <v>27868</v>
      </c>
      <c r="L34" s="200">
        <f>'Table 1.1.3'!I34</f>
        <v>22471</v>
      </c>
      <c r="M34" s="200">
        <f t="shared" si="3"/>
        <v>17438</v>
      </c>
      <c r="N34" s="200">
        <f>SUM('Table 1.1.3'!K34,'Table 1.1.3'!M34:N34)</f>
        <v>17438</v>
      </c>
      <c r="O34" s="200">
        <f>'Table 1.1.3'!L34</f>
        <v>0</v>
      </c>
      <c r="P34" s="200">
        <f>'Table 1.1.3'!O34</f>
        <v>59323</v>
      </c>
      <c r="Q34" s="200">
        <f>'Table 1.1.4'!J34</f>
        <v>4437.8420000000006</v>
      </c>
      <c r="R34" s="200">
        <f>'Table 1.1.5'!G34</f>
        <v>30222.157999999999</v>
      </c>
      <c r="S34" s="200">
        <f>'Table 1.1.6'!F34</f>
        <v>24666</v>
      </c>
      <c r="T34" s="200">
        <f>'Table 1.1.3'!AE34</f>
        <v>13572</v>
      </c>
      <c r="U34" s="200">
        <f>'Table 1.1.3'!AF34</f>
        <v>1529</v>
      </c>
      <c r="V34" s="200">
        <f>'Table 1.1.3'!AG34</f>
        <v>12043</v>
      </c>
      <c r="W34" s="200">
        <f>'Table 1.1.3'!AH34</f>
        <v>35991</v>
      </c>
      <c r="X34" s="200">
        <f>'Table 1.1.3'!AI34</f>
        <v>10025</v>
      </c>
      <c r="Y34" s="200">
        <f>'Table 1.1.3'!AJ34</f>
        <v>800</v>
      </c>
      <c r="Z34" s="200">
        <f>'Table 1.1.3'!AK34</f>
        <v>7989</v>
      </c>
      <c r="AA34" s="200">
        <f>'Table 1.1.3'!AL34</f>
        <v>1236</v>
      </c>
      <c r="AB34" s="200">
        <f>'Table 1.1.3'!AQ34</f>
        <v>12508</v>
      </c>
      <c r="AC34" s="200">
        <f>'Table 1.1.3'!AR34</f>
        <v>9668</v>
      </c>
      <c r="AD34" s="200">
        <f>'Table 1.1.3'!AS74</f>
        <v>0</v>
      </c>
      <c r="AE34" s="200">
        <f>'Table 1.1.3'!AT34</f>
        <v>2011</v>
      </c>
      <c r="AF34" s="200">
        <f>'Table 1.1.3'!AU34</f>
        <v>13459</v>
      </c>
      <c r="AG34" s="200">
        <f>'Table 1.1.3'!AV34</f>
        <v>8465</v>
      </c>
      <c r="AH34" s="200">
        <f>'Table 1.1.3'!AW34</f>
        <v>2590</v>
      </c>
      <c r="AI34" s="200">
        <f>'Table 1.1.3'!AX34</f>
        <v>2404</v>
      </c>
    </row>
    <row r="35" spans="1:35" ht="12.75" customHeight="1">
      <c r="A35" s="199">
        <v>1988</v>
      </c>
      <c r="B35" s="200">
        <f>'Table 1.1'!B65</f>
        <v>581698</v>
      </c>
      <c r="C35" s="200">
        <f t="shared" si="0"/>
        <v>156186.44</v>
      </c>
      <c r="D35" s="200">
        <f t="shared" si="1"/>
        <v>77013.56</v>
      </c>
      <c r="E35" s="200">
        <f t="shared" si="2"/>
        <v>348498</v>
      </c>
      <c r="F35" s="200">
        <f>'Table 1.1.3'!C35</f>
        <v>120828</v>
      </c>
      <c r="G35" s="200">
        <f>'Table 1.1.3'!D35</f>
        <v>338359</v>
      </c>
      <c r="H35" s="200">
        <f>'Table 1.1.3'!E35</f>
        <v>175906</v>
      </c>
      <c r="I35" s="200">
        <f>'Table 1.1.3'!F35</f>
        <v>88965</v>
      </c>
      <c r="J35" s="200">
        <f>'Table 1.1.3'!G35</f>
        <v>55080</v>
      </c>
      <c r="K35" s="200">
        <f>'Table 1.1.3'!H35</f>
        <v>30995</v>
      </c>
      <c r="L35" s="200">
        <f>'Table 1.1.3'!I35</f>
        <v>24085</v>
      </c>
      <c r="M35" s="200">
        <f t="shared" si="3"/>
        <v>18407</v>
      </c>
      <c r="N35" s="200">
        <f>SUM('Table 1.1.3'!K35,'Table 1.1.3'!M35:N35)</f>
        <v>18407</v>
      </c>
      <c r="O35" s="200">
        <f>'Table 1.1.3'!L35</f>
        <v>0</v>
      </c>
      <c r="P35" s="200">
        <f>'Table 1.1.3'!O35</f>
        <v>67076</v>
      </c>
      <c r="Q35" s="200">
        <f>'Table 1.1.4'!J35</f>
        <v>4896.4400000000005</v>
      </c>
      <c r="R35" s="200">
        <f>'Table 1.1.5'!G35</f>
        <v>33384.559999999998</v>
      </c>
      <c r="S35" s="200">
        <f>'Table 1.1.6'!F35</f>
        <v>28795</v>
      </c>
      <c r="T35" s="200">
        <f>'Table 1.1.3'!AE35</f>
        <v>15267</v>
      </c>
      <c r="U35" s="200">
        <f>'Table 1.1.3'!AF35</f>
        <v>1795</v>
      </c>
      <c r="V35" s="200">
        <f>'Table 1.1.3'!AG35</f>
        <v>13472</v>
      </c>
      <c r="W35" s="200">
        <f>'Table 1.1.3'!AH35</f>
        <v>40168</v>
      </c>
      <c r="X35" s="200">
        <f>'Table 1.1.3'!AI35</f>
        <v>10836</v>
      </c>
      <c r="Y35" s="200">
        <f>'Table 1.1.3'!AJ35</f>
        <v>839</v>
      </c>
      <c r="Z35" s="200">
        <f>'Table 1.1.3'!AK35</f>
        <v>8618</v>
      </c>
      <c r="AA35" s="200">
        <f>'Table 1.1.3'!AL35</f>
        <v>1379</v>
      </c>
      <c r="AB35" s="200">
        <f>'Table 1.1.3'!AQ35</f>
        <v>14438</v>
      </c>
      <c r="AC35" s="200">
        <f>'Table 1.1.3'!AR35</f>
        <v>11614</v>
      </c>
      <c r="AD35" s="200">
        <f>'Table 1.1.3'!AS75</f>
        <v>0</v>
      </c>
      <c r="AE35" s="200">
        <f>'Table 1.1.3'!AT35</f>
        <v>2025</v>
      </c>
      <c r="AF35" s="200">
        <f>'Table 1.1.3'!AU35</f>
        <v>14893</v>
      </c>
      <c r="AG35" s="200">
        <f>'Table 1.1.3'!AV35</f>
        <v>9715</v>
      </c>
      <c r="AH35" s="200">
        <f>'Table 1.1.3'!AW35</f>
        <v>2510</v>
      </c>
      <c r="AI35" s="200">
        <f>'Table 1.1.3'!AX35</f>
        <v>2668</v>
      </c>
    </row>
    <row r="36" spans="1:35" ht="12.75" customHeight="1">
      <c r="A36" s="199">
        <v>1989</v>
      </c>
      <c r="B36" s="200">
        <f>'Table 1.1'!B66</f>
        <v>647465</v>
      </c>
      <c r="C36" s="200">
        <f t="shared" si="0"/>
        <v>174642.52</v>
      </c>
      <c r="D36" s="200">
        <f t="shared" si="1"/>
        <v>85312.48000000001</v>
      </c>
      <c r="E36" s="200">
        <f t="shared" si="2"/>
        <v>387510</v>
      </c>
      <c r="F36" s="200">
        <f>'Table 1.1.3'!C36</f>
        <v>127313</v>
      </c>
      <c r="G36" s="200">
        <f>'Table 1.1.3'!D36</f>
        <v>387493</v>
      </c>
      <c r="H36" s="200">
        <f>'Table 1.1.3'!E36</f>
        <v>204997</v>
      </c>
      <c r="I36" s="200">
        <f>'Table 1.1.3'!F36</f>
        <v>101137</v>
      </c>
      <c r="J36" s="200">
        <f>'Table 1.1.3'!G36</f>
        <v>61952</v>
      </c>
      <c r="K36" s="200">
        <f>'Table 1.1.3'!H36</f>
        <v>35077</v>
      </c>
      <c r="L36" s="200">
        <f>'Table 1.1.3'!I36</f>
        <v>26876</v>
      </c>
      <c r="M36" s="200">
        <f t="shared" si="3"/>
        <v>19406</v>
      </c>
      <c r="N36" s="200">
        <f>SUM('Table 1.1.3'!K36,'Table 1.1.3'!M36:N36)</f>
        <v>19406</v>
      </c>
      <c r="O36" s="200">
        <f>'Table 1.1.3'!L36</f>
        <v>0</v>
      </c>
      <c r="P36" s="200">
        <f>'Table 1.1.3'!O36</f>
        <v>70908</v>
      </c>
      <c r="Q36" s="200">
        <f>'Table 1.1.4'!J36</f>
        <v>4782.5200000000004</v>
      </c>
      <c r="R36" s="200">
        <f>'Table 1.1.5'!G36</f>
        <v>35839.480000000003</v>
      </c>
      <c r="S36" s="200">
        <f>'Table 1.1.6'!F36</f>
        <v>30286</v>
      </c>
      <c r="T36" s="200">
        <f>'Table 1.1.3'!AE36</f>
        <v>17775</v>
      </c>
      <c r="U36" s="200">
        <f>'Table 1.1.3'!AF36</f>
        <v>2030</v>
      </c>
      <c r="V36" s="200">
        <f>'Table 1.1.3'!AG36</f>
        <v>15745</v>
      </c>
      <c r="W36" s="200">
        <f>'Table 1.1.3'!AH36</f>
        <v>43977</v>
      </c>
      <c r="X36" s="200">
        <f>'Table 1.1.3'!AI36</f>
        <v>11738</v>
      </c>
      <c r="Y36" s="200">
        <f>'Table 1.1.3'!AJ36</f>
        <v>882</v>
      </c>
      <c r="Z36" s="200">
        <f>'Table 1.1.3'!AK36</f>
        <v>9314</v>
      </c>
      <c r="AA36" s="200">
        <f>'Table 1.1.3'!AL36</f>
        <v>1542</v>
      </c>
      <c r="AB36" s="200">
        <f>'Table 1.1.3'!AQ36</f>
        <v>14978</v>
      </c>
      <c r="AC36" s="200">
        <f>'Table 1.1.3'!AR36</f>
        <v>12138</v>
      </c>
      <c r="AD36" s="200">
        <f>'Table 1.1.3'!AS76</f>
        <v>0</v>
      </c>
      <c r="AE36" s="200">
        <f>'Table 1.1.3'!AT36</f>
        <v>2107</v>
      </c>
      <c r="AF36" s="200">
        <f>'Table 1.1.3'!AU36</f>
        <v>17260</v>
      </c>
      <c r="AG36" s="200">
        <f>'Table 1.1.3'!AV36</f>
        <v>11162</v>
      </c>
      <c r="AH36" s="200">
        <f>'Table 1.1.3'!AW36</f>
        <v>2896</v>
      </c>
      <c r="AI36" s="200">
        <f>'Table 1.1.3'!AX36</f>
        <v>3203</v>
      </c>
    </row>
    <row r="37" spans="1:35" ht="18" customHeight="1">
      <c r="A37" s="199">
        <v>1990</v>
      </c>
      <c r="B37" s="200">
        <f>'Table 1.1'!B67</f>
        <v>724278</v>
      </c>
      <c r="C37" s="200">
        <f t="shared" si="0"/>
        <v>195312.28</v>
      </c>
      <c r="D37" s="200">
        <f t="shared" si="1"/>
        <v>96099.72</v>
      </c>
      <c r="E37" s="200">
        <f t="shared" si="2"/>
        <v>432866</v>
      </c>
      <c r="F37" s="200">
        <f>'Table 1.1.3'!C37</f>
        <v>138643</v>
      </c>
      <c r="G37" s="200">
        <f>'Table 1.1.3'!D37</f>
        <v>439458</v>
      </c>
      <c r="H37" s="200">
        <f>'Table 1.1.3'!E37</f>
        <v>234231</v>
      </c>
      <c r="I37" s="200">
        <f>'Table 1.1.3'!F37</f>
        <v>110182</v>
      </c>
      <c r="J37" s="200">
        <f>'Table 1.1.3'!G37</f>
        <v>73661</v>
      </c>
      <c r="K37" s="200">
        <f>'Table 1.1.3'!H37</f>
        <v>42607</v>
      </c>
      <c r="L37" s="200">
        <f>'Table 1.1.3'!I37</f>
        <v>31054</v>
      </c>
      <c r="M37" s="200">
        <f t="shared" si="3"/>
        <v>21385</v>
      </c>
      <c r="N37" s="200">
        <f>SUM('Table 1.1.3'!K37,'Table 1.1.3'!M37:N37)</f>
        <v>21385</v>
      </c>
      <c r="O37" s="200">
        <f>'Table 1.1.3'!L37</f>
        <v>0</v>
      </c>
      <c r="P37" s="200">
        <f>'Table 1.1.3'!O37</f>
        <v>77494</v>
      </c>
      <c r="Q37" s="200">
        <f>'Table 1.1.4'!J37</f>
        <v>5980.28</v>
      </c>
      <c r="R37" s="200">
        <f>'Table 1.1.5'!G37</f>
        <v>39747.72</v>
      </c>
      <c r="S37" s="200">
        <f>'Table 1.1.6'!F37</f>
        <v>31768</v>
      </c>
      <c r="T37" s="200">
        <f>'Table 1.1.3'!AE37</f>
        <v>19996</v>
      </c>
      <c r="U37" s="200">
        <f>'Table 1.1.3'!AF37</f>
        <v>2262</v>
      </c>
      <c r="V37" s="200">
        <f>'Table 1.1.3'!AG37</f>
        <v>17734</v>
      </c>
      <c r="W37" s="200">
        <f>'Table 1.1.3'!AH37</f>
        <v>48686</v>
      </c>
      <c r="X37" s="200">
        <f>'Table 1.1.3'!AI37</f>
        <v>12678</v>
      </c>
      <c r="Y37" s="200">
        <f>'Table 1.1.3'!AJ37</f>
        <v>961</v>
      </c>
      <c r="Z37" s="200">
        <f>'Table 1.1.3'!AK37</f>
        <v>9981</v>
      </c>
      <c r="AA37" s="200">
        <f>'Table 1.1.3'!AL37</f>
        <v>1737</v>
      </c>
      <c r="AB37" s="200">
        <f>'Table 1.1.3'!AQ37</f>
        <v>17047</v>
      </c>
      <c r="AC37" s="200">
        <f>'Table 1.1.3'!AR37</f>
        <v>13800</v>
      </c>
      <c r="AD37" s="200">
        <f>'Table 1.1.3'!AS77</f>
        <v>0</v>
      </c>
      <c r="AE37" s="200">
        <f>'Table 1.1.3'!AT37</f>
        <v>2415</v>
      </c>
      <c r="AF37" s="200">
        <f>'Table 1.1.3'!AU37</f>
        <v>18961</v>
      </c>
      <c r="AG37" s="200">
        <f>'Table 1.1.3'!AV37</f>
        <v>12634</v>
      </c>
      <c r="AH37" s="200">
        <f>'Table 1.1.3'!AW37</f>
        <v>2915</v>
      </c>
      <c r="AI37" s="200">
        <f>'Table 1.1.3'!AX37</f>
        <v>3412</v>
      </c>
    </row>
    <row r="38" spans="1:35" ht="12.75" customHeight="1">
      <c r="A38" s="199">
        <v>1991</v>
      </c>
      <c r="B38" s="200">
        <f>'Table 1.1'!B68</f>
        <v>791525</v>
      </c>
      <c r="C38" s="200">
        <f t="shared" si="0"/>
        <v>224812.01800000001</v>
      </c>
      <c r="D38" s="200">
        <f t="shared" si="1"/>
        <v>105647.982</v>
      </c>
      <c r="E38" s="200">
        <f t="shared" si="2"/>
        <v>461064.99999999994</v>
      </c>
      <c r="F38" s="200">
        <f>'Table 1.1.3'!C38</f>
        <v>141690</v>
      </c>
      <c r="G38" s="200">
        <f>'Table 1.1.3'!D38</f>
        <v>492820</v>
      </c>
      <c r="H38" s="200">
        <f>'Table 1.1.3'!E38</f>
        <v>255603</v>
      </c>
      <c r="I38" s="200">
        <f>'Table 1.1.3'!F38</f>
        <v>120617</v>
      </c>
      <c r="J38" s="200">
        <f>'Table 1.1.3'!G38</f>
        <v>93211</v>
      </c>
      <c r="K38" s="200">
        <f>'Table 1.1.3'!H38</f>
        <v>56847</v>
      </c>
      <c r="L38" s="200">
        <f>'Table 1.1.3'!I38</f>
        <v>36364</v>
      </c>
      <c r="M38" s="200">
        <f t="shared" si="3"/>
        <v>23388</v>
      </c>
      <c r="N38" s="200">
        <f>SUM('Table 1.1.3'!K38,'Table 1.1.3'!M38:N38)</f>
        <v>23388</v>
      </c>
      <c r="O38" s="200">
        <f>'Table 1.1.3'!L38</f>
        <v>0</v>
      </c>
      <c r="P38" s="200">
        <f>'Table 1.1.3'!O38</f>
        <v>82842</v>
      </c>
      <c r="Q38" s="200">
        <f>'Table 1.1.4'!J38</f>
        <v>6834.018</v>
      </c>
      <c r="R38" s="200">
        <f>'Table 1.1.5'!G38</f>
        <v>41763.982000000004</v>
      </c>
      <c r="S38" s="200">
        <f>'Table 1.1.6'!F38</f>
        <v>34243</v>
      </c>
      <c r="T38" s="200">
        <f>'Table 1.1.3'!AE38</f>
        <v>22127</v>
      </c>
      <c r="U38" s="200">
        <f>'Table 1.1.3'!AF38</f>
        <v>2605</v>
      </c>
      <c r="V38" s="200">
        <f>'Table 1.1.3'!AG38</f>
        <v>19522</v>
      </c>
      <c r="W38" s="200">
        <f>'Table 1.1.3'!AH38</f>
        <v>52047</v>
      </c>
      <c r="X38" s="200">
        <f>'Table 1.1.3'!AI38</f>
        <v>13819</v>
      </c>
      <c r="Y38" s="200">
        <f>'Table 1.1.3'!AJ38</f>
        <v>1091</v>
      </c>
      <c r="Z38" s="200">
        <f>'Table 1.1.3'!AK38</f>
        <v>10854</v>
      </c>
      <c r="AA38" s="200">
        <f>'Table 1.1.3'!AL38</f>
        <v>1874</v>
      </c>
      <c r="AB38" s="200">
        <f>'Table 1.1.3'!AQ38</f>
        <v>16802</v>
      </c>
      <c r="AC38" s="200">
        <f>'Table 1.1.3'!AR38</f>
        <v>13417</v>
      </c>
      <c r="AD38" s="200">
        <f>'Table 1.1.3'!AS78</f>
        <v>0</v>
      </c>
      <c r="AE38" s="200">
        <f>'Table 1.1.3'!AT38</f>
        <v>2657</v>
      </c>
      <c r="AF38" s="200">
        <f>'Table 1.1.3'!AU38</f>
        <v>21426</v>
      </c>
      <c r="AG38" s="200">
        <f>'Table 1.1.3'!AV38</f>
        <v>14292</v>
      </c>
      <c r="AH38" s="200">
        <f>'Table 1.1.3'!AW38</f>
        <v>3667</v>
      </c>
      <c r="AI38" s="200">
        <f>'Table 1.1.3'!AX38</f>
        <v>3467</v>
      </c>
    </row>
    <row r="39" spans="1:35" ht="12.75" customHeight="1">
      <c r="A39" s="199">
        <v>1992</v>
      </c>
      <c r="B39" s="200">
        <f>'Table 1.1'!B69</f>
        <v>857910</v>
      </c>
      <c r="C39" s="200">
        <f t="shared" si="0"/>
        <v>254681.1</v>
      </c>
      <c r="D39" s="200">
        <f t="shared" si="1"/>
        <v>113751.9</v>
      </c>
      <c r="E39" s="200">
        <f t="shared" si="2"/>
        <v>489477</v>
      </c>
      <c r="F39" s="200">
        <f>'Table 1.1.3'!C39</f>
        <v>144215</v>
      </c>
      <c r="G39" s="200">
        <f>'Table 1.1.3'!D39</f>
        <v>543976</v>
      </c>
      <c r="H39" s="200">
        <f>'Table 1.1.3'!E39</f>
        <v>275579</v>
      </c>
      <c r="I39" s="200">
        <f>'Table 1.1.3'!F39</f>
        <v>135996</v>
      </c>
      <c r="J39" s="200">
        <f>'Table 1.1.3'!G39</f>
        <v>108186</v>
      </c>
      <c r="K39" s="200">
        <f>'Table 1.1.3'!H39</f>
        <v>68602</v>
      </c>
      <c r="L39" s="200">
        <f>'Table 1.1.3'!I39</f>
        <v>39585</v>
      </c>
      <c r="M39" s="200">
        <f t="shared" si="3"/>
        <v>24215</v>
      </c>
      <c r="N39" s="200">
        <f>SUM('Table 1.1.3'!K39,'Table 1.1.3'!M39:N39)</f>
        <v>24215</v>
      </c>
      <c r="O39" s="200">
        <f>'Table 1.1.3'!L39</f>
        <v>0</v>
      </c>
      <c r="P39" s="200">
        <f>'Table 1.1.3'!O39</f>
        <v>88450</v>
      </c>
      <c r="Q39" s="200">
        <f>'Table 1.1.4'!J39</f>
        <v>7506.1</v>
      </c>
      <c r="R39" s="200">
        <f>'Table 1.1.5'!G39</f>
        <v>44139.9</v>
      </c>
      <c r="S39" s="200">
        <f>'Table 1.1.6'!F39</f>
        <v>36804</v>
      </c>
      <c r="T39" s="200">
        <f>'Table 1.1.3'!AE39</f>
        <v>24371</v>
      </c>
      <c r="U39" s="200">
        <f>'Table 1.1.3'!AF39</f>
        <v>2912</v>
      </c>
      <c r="V39" s="200">
        <f>'Table 1.1.3'!AG39</f>
        <v>21459</v>
      </c>
      <c r="W39" s="200">
        <f>'Table 1.1.3'!AH39</f>
        <v>56898</v>
      </c>
      <c r="X39" s="200">
        <f>'Table 1.1.3'!AI39</f>
        <v>15091</v>
      </c>
      <c r="Y39" s="200">
        <f>'Table 1.1.3'!AJ39</f>
        <v>1208</v>
      </c>
      <c r="Z39" s="200">
        <f>'Table 1.1.3'!AK39</f>
        <v>11902</v>
      </c>
      <c r="AA39" s="200">
        <f>'Table 1.1.3'!AL39</f>
        <v>1981</v>
      </c>
      <c r="AB39" s="200">
        <f>'Table 1.1.3'!AQ39</f>
        <v>18341</v>
      </c>
      <c r="AC39" s="200">
        <f>'Table 1.1.3'!AR39</f>
        <v>14586</v>
      </c>
      <c r="AD39" s="200">
        <f>'Table 1.1.3'!AS79</f>
        <v>0</v>
      </c>
      <c r="AE39" s="200">
        <f>'Table 1.1.3'!AT39</f>
        <v>3013</v>
      </c>
      <c r="AF39" s="200">
        <f>'Table 1.1.3'!AU39</f>
        <v>23465</v>
      </c>
      <c r="AG39" s="200">
        <f>'Table 1.1.3'!AV39</f>
        <v>16344</v>
      </c>
      <c r="AH39" s="200">
        <f>'Table 1.1.3'!AW39</f>
        <v>3548</v>
      </c>
      <c r="AI39" s="200">
        <f>'Table 1.1.3'!AX39</f>
        <v>3574</v>
      </c>
    </row>
    <row r="40" spans="1:35" ht="12.75" customHeight="1">
      <c r="A40" s="199">
        <v>1993</v>
      </c>
      <c r="B40" s="200">
        <f>'Table 1.1'!B70</f>
        <v>921492</v>
      </c>
      <c r="C40" s="200">
        <f t="shared" si="0"/>
        <v>281765.91800000001</v>
      </c>
      <c r="D40" s="200">
        <f t="shared" si="1"/>
        <v>124549.08199999999</v>
      </c>
      <c r="E40" s="200">
        <f t="shared" si="2"/>
        <v>515176.99999999994</v>
      </c>
      <c r="F40" s="200">
        <f>'Table 1.1.3'!C40</f>
        <v>145301</v>
      </c>
      <c r="G40" s="200">
        <f>'Table 1.1.3'!D40</f>
        <v>594269</v>
      </c>
      <c r="H40" s="200">
        <f>'Table 1.1.3'!E40</f>
        <v>296285</v>
      </c>
      <c r="I40" s="200">
        <f>'Table 1.1.3'!F40</f>
        <v>149965</v>
      </c>
      <c r="J40" s="200">
        <f>'Table 1.1.3'!G40</f>
        <v>122373</v>
      </c>
      <c r="K40" s="200">
        <f>'Table 1.1.3'!H40</f>
        <v>76961</v>
      </c>
      <c r="L40" s="200">
        <f>'Table 1.1.3'!I40</f>
        <v>45412</v>
      </c>
      <c r="M40" s="200">
        <f t="shared" si="3"/>
        <v>25646</v>
      </c>
      <c r="N40" s="200">
        <f>SUM('Table 1.1.3'!K40,'Table 1.1.3'!M40:N40)</f>
        <v>25646</v>
      </c>
      <c r="O40" s="200">
        <f>'Table 1.1.3'!L40</f>
        <v>0</v>
      </c>
      <c r="P40" s="200">
        <f>'Table 1.1.3'!O40</f>
        <v>93965</v>
      </c>
      <c r="Q40" s="200">
        <f>'Table 1.1.4'!J40</f>
        <v>7969.9179999999997</v>
      </c>
      <c r="R40" s="200">
        <f>'Table 1.1.5'!G40</f>
        <v>46520.082000000002</v>
      </c>
      <c r="S40" s="200">
        <f>'Table 1.1.6'!F40</f>
        <v>39474</v>
      </c>
      <c r="T40" s="200">
        <f>'Table 1.1.3'!AE40</f>
        <v>26776</v>
      </c>
      <c r="U40" s="200">
        <f>'Table 1.1.3'!AF40</f>
        <v>3164</v>
      </c>
      <c r="V40" s="200">
        <f>'Table 1.1.3'!AG40</f>
        <v>23613</v>
      </c>
      <c r="W40" s="200">
        <f>'Table 1.1.3'!AH40</f>
        <v>61180</v>
      </c>
      <c r="X40" s="200">
        <f>'Table 1.1.3'!AI40</f>
        <v>16472</v>
      </c>
      <c r="Y40" s="200">
        <f>'Table 1.1.3'!AJ40</f>
        <v>1298</v>
      </c>
      <c r="Z40" s="200">
        <f>'Table 1.1.3'!AK40</f>
        <v>13125</v>
      </c>
      <c r="AA40" s="200">
        <f>'Table 1.1.3'!AL40</f>
        <v>2049</v>
      </c>
      <c r="AB40" s="200">
        <f>'Table 1.1.3'!AQ40</f>
        <v>19929</v>
      </c>
      <c r="AC40" s="200">
        <f>'Table 1.1.3'!AR40</f>
        <v>15862</v>
      </c>
      <c r="AD40" s="200">
        <f>'Table 1.1.3'!AS40</f>
        <v>925</v>
      </c>
      <c r="AE40" s="200">
        <f>'Table 1.1.3'!AT40</f>
        <v>3142</v>
      </c>
      <c r="AF40" s="200">
        <f>'Table 1.1.3'!AU40</f>
        <v>24779</v>
      </c>
      <c r="AG40" s="200">
        <f>'Table 1.1.3'!AV40</f>
        <v>16957</v>
      </c>
      <c r="AH40" s="200">
        <f>'Table 1.1.3'!AW40</f>
        <v>4010</v>
      </c>
      <c r="AI40" s="200">
        <f>'Table 1.1.3'!AX40</f>
        <v>3813</v>
      </c>
    </row>
    <row r="41" spans="1:35" ht="12.75" customHeight="1">
      <c r="A41" s="199">
        <v>1994</v>
      </c>
      <c r="B41" s="200">
        <f>'Table 1.1'!B71</f>
        <v>972687</v>
      </c>
      <c r="C41" s="200">
        <f t="shared" si="0"/>
        <v>306331.79700000002</v>
      </c>
      <c r="D41" s="200">
        <f t="shared" si="1"/>
        <v>136074.20300000001</v>
      </c>
      <c r="E41" s="200">
        <f t="shared" si="2"/>
        <v>530281</v>
      </c>
      <c r="F41" s="200">
        <f>'Table 1.1.3'!C41</f>
        <v>143458</v>
      </c>
      <c r="G41" s="200">
        <f>'Table 1.1.3'!D41</f>
        <v>638026</v>
      </c>
      <c r="H41" s="200">
        <f>'Table 1.1.3'!E41</f>
        <v>309497</v>
      </c>
      <c r="I41" s="200">
        <f>'Table 1.1.3'!F41</f>
        <v>167670</v>
      </c>
      <c r="J41" s="200">
        <f>'Table 1.1.3'!G41</f>
        <v>134414</v>
      </c>
      <c r="K41" s="200">
        <f>'Table 1.1.3'!H41</f>
        <v>81052</v>
      </c>
      <c r="L41" s="200">
        <f>'Table 1.1.3'!I41</f>
        <v>53363</v>
      </c>
      <c r="M41" s="200">
        <f t="shared" si="3"/>
        <v>26445</v>
      </c>
      <c r="N41" s="200">
        <f>SUM('Table 1.1.3'!K41,'Table 1.1.3'!M41:N41)</f>
        <v>26445</v>
      </c>
      <c r="O41" s="200">
        <f>'Table 1.1.3'!L41</f>
        <v>0</v>
      </c>
      <c r="P41" s="200">
        <f>'Table 1.1.3'!O41</f>
        <v>97687</v>
      </c>
      <c r="Q41" s="200">
        <f>'Table 1.1.4'!J41</f>
        <v>8352.7969999999987</v>
      </c>
      <c r="R41" s="200">
        <f>'Table 1.1.5'!G41</f>
        <v>47904.203000000001</v>
      </c>
      <c r="S41" s="200">
        <f>'Table 1.1.6'!F41</f>
        <v>41431</v>
      </c>
      <c r="T41" s="200">
        <f>'Table 1.1.3'!AE41</f>
        <v>29591</v>
      </c>
      <c r="U41" s="200">
        <f>'Table 1.1.3'!AF41</f>
        <v>3626</v>
      </c>
      <c r="V41" s="200">
        <f>'Table 1.1.3'!AG41</f>
        <v>25964</v>
      </c>
      <c r="W41" s="200">
        <f>'Table 1.1.3'!AH41</f>
        <v>63926</v>
      </c>
      <c r="X41" s="200">
        <f>'Table 1.1.3'!AI41</f>
        <v>17758</v>
      </c>
      <c r="Y41" s="200">
        <f>'Table 1.1.3'!AJ41</f>
        <v>1432</v>
      </c>
      <c r="Z41" s="200">
        <f>'Table 1.1.3'!AK41</f>
        <v>14149</v>
      </c>
      <c r="AA41" s="200">
        <f>'Table 1.1.3'!AL41</f>
        <v>2177</v>
      </c>
      <c r="AB41" s="200">
        <f>'Table 1.1.3'!AQ41</f>
        <v>20837</v>
      </c>
      <c r="AC41" s="200">
        <f>'Table 1.1.3'!AR41</f>
        <v>17052</v>
      </c>
      <c r="AD41" s="200">
        <f>'Table 1.1.3'!AS41</f>
        <v>853</v>
      </c>
      <c r="AE41" s="200">
        <f>'Table 1.1.3'!AT41</f>
        <v>2932</v>
      </c>
      <c r="AF41" s="200">
        <f>'Table 1.1.3'!AU41</f>
        <v>25331</v>
      </c>
      <c r="AG41" s="200">
        <f>'Table 1.1.3'!AV41</f>
        <v>17413</v>
      </c>
      <c r="AH41" s="200">
        <f>'Table 1.1.3'!AW41</f>
        <v>4184</v>
      </c>
      <c r="AI41" s="200">
        <f>'Table 1.1.3'!AX41</f>
        <v>3734</v>
      </c>
    </row>
    <row r="42" spans="1:35" ht="12.75" customHeight="1">
      <c r="A42" s="199">
        <v>1995</v>
      </c>
      <c r="B42" s="200">
        <f>'Table 1.1'!B72</f>
        <v>1027432</v>
      </c>
      <c r="C42" s="200">
        <f t="shared" si="0"/>
        <v>329462.636</v>
      </c>
      <c r="D42" s="200">
        <f t="shared" si="1"/>
        <v>142332.364</v>
      </c>
      <c r="E42" s="200">
        <f t="shared" si="2"/>
        <v>555637</v>
      </c>
      <c r="F42" s="200">
        <f>'Table 1.1.3'!C42</f>
        <v>146356</v>
      </c>
      <c r="G42" s="200">
        <f>'Table 1.1.3'!D42</f>
        <v>682912</v>
      </c>
      <c r="H42" s="200">
        <f>'Table 1.1.3'!E42</f>
        <v>326772</v>
      </c>
      <c r="I42" s="200">
        <f>'Table 1.1.3'!F42</f>
        <v>184393</v>
      </c>
      <c r="J42" s="200">
        <f>'Table 1.1.3'!G42</f>
        <v>144862</v>
      </c>
      <c r="K42" s="200">
        <f>'Table 1.1.3'!H42</f>
        <v>85946</v>
      </c>
      <c r="L42" s="200">
        <f>'Table 1.1.3'!I42</f>
        <v>58917</v>
      </c>
      <c r="M42" s="200">
        <f t="shared" si="3"/>
        <v>26885</v>
      </c>
      <c r="N42" s="200">
        <f>SUM('Table 1.1.3'!K42,'Table 1.1.3'!M42:N42)</f>
        <v>26885</v>
      </c>
      <c r="O42" s="200">
        <f>'Table 1.1.3'!L42</f>
        <v>0</v>
      </c>
      <c r="P42" s="200">
        <f>'Table 1.1.3'!O42</f>
        <v>101310</v>
      </c>
      <c r="Q42" s="200">
        <f>'Table 1.1.4'!J42</f>
        <v>8752.6360000000004</v>
      </c>
      <c r="R42" s="200">
        <f>'Table 1.1.5'!G42</f>
        <v>46882.364000000001</v>
      </c>
      <c r="S42" s="200">
        <f>'Table 1.1.6'!F42</f>
        <v>45676</v>
      </c>
      <c r="T42" s="200">
        <f>'Table 1.1.3'!AE42</f>
        <v>30993</v>
      </c>
      <c r="U42" s="200">
        <f>'Table 1.1.3'!AF42</f>
        <v>3655</v>
      </c>
      <c r="V42" s="200">
        <f>'Table 1.1.3'!AG42</f>
        <v>27338</v>
      </c>
      <c r="W42" s="200">
        <f>'Table 1.1.3'!AH42</f>
        <v>65861</v>
      </c>
      <c r="X42" s="200">
        <f>'Table 1.1.3'!AI42</f>
        <v>18670</v>
      </c>
      <c r="Y42" s="200">
        <f>'Table 1.1.3'!AJ42</f>
        <v>1563</v>
      </c>
      <c r="Z42" s="200">
        <f>'Table 1.1.3'!AK42</f>
        <v>14733</v>
      </c>
      <c r="AA42" s="200">
        <f>'Table 1.1.3'!AL42</f>
        <v>2374</v>
      </c>
      <c r="AB42" s="200">
        <f>'Table 1.1.3'!AQ42</f>
        <v>20922</v>
      </c>
      <c r="AC42" s="200">
        <f>'Table 1.1.3'!AR42</f>
        <v>16892</v>
      </c>
      <c r="AD42" s="200">
        <f>'Table 1.1.3'!AS42</f>
        <v>989</v>
      </c>
      <c r="AE42" s="200">
        <f>'Table 1.1.3'!AT42</f>
        <v>3041</v>
      </c>
      <c r="AF42" s="200">
        <f>'Table 1.1.3'!AU42</f>
        <v>26270</v>
      </c>
      <c r="AG42" s="200">
        <f>'Table 1.1.3'!AV42</f>
        <v>18381</v>
      </c>
      <c r="AH42" s="200">
        <f>'Table 1.1.3'!AW42</f>
        <v>4109</v>
      </c>
      <c r="AI42" s="200">
        <f>'Table 1.1.3'!AX42</f>
        <v>3780</v>
      </c>
    </row>
    <row r="43" spans="1:35" ht="12.75" customHeight="1">
      <c r="A43" s="199">
        <v>1996</v>
      </c>
      <c r="B43" s="200">
        <f>'Table 1.1'!B73</f>
        <v>1081849</v>
      </c>
      <c r="C43" s="200">
        <f t="shared" si="0"/>
        <v>349250.65</v>
      </c>
      <c r="D43" s="200">
        <f t="shared" si="1"/>
        <v>146265.35</v>
      </c>
      <c r="E43" s="200">
        <f t="shared" si="2"/>
        <v>586333</v>
      </c>
      <c r="F43" s="200">
        <f>'Table 1.1.3'!C43</f>
        <v>152194</v>
      </c>
      <c r="G43" s="200">
        <f>'Table 1.1.3'!D43</f>
        <v>724243</v>
      </c>
      <c r="H43" s="200">
        <f>'Table 1.1.3'!E43</f>
        <v>345803</v>
      </c>
      <c r="I43" s="200">
        <f>'Table 1.1.3'!F43</f>
        <v>198750</v>
      </c>
      <c r="J43" s="200">
        <f>'Table 1.1.3'!G43</f>
        <v>152170</v>
      </c>
      <c r="K43" s="200">
        <f>'Table 1.1.3'!H43</f>
        <v>91099</v>
      </c>
      <c r="L43" s="200">
        <f>'Table 1.1.3'!I43</f>
        <v>61071</v>
      </c>
      <c r="M43" s="200">
        <f t="shared" si="3"/>
        <v>27520</v>
      </c>
      <c r="N43" s="200">
        <f>SUM('Table 1.1.3'!K43,'Table 1.1.3'!M43:N43)</f>
        <v>27520</v>
      </c>
      <c r="O43" s="200">
        <f>'Table 1.1.3'!L43</f>
        <v>0</v>
      </c>
      <c r="P43" s="200">
        <f>'Table 1.1.3'!O43</f>
        <v>105299</v>
      </c>
      <c r="Q43" s="200">
        <f>'Table 1.1.4'!J43</f>
        <v>8709.65</v>
      </c>
      <c r="R43" s="200">
        <f>'Table 1.1.5'!G43</f>
        <v>47145.350000000006</v>
      </c>
      <c r="S43" s="200">
        <f>'Table 1.1.6'!F43</f>
        <v>49445</v>
      </c>
      <c r="T43" s="200">
        <f>'Table 1.1.3'!AE43</f>
        <v>32373</v>
      </c>
      <c r="U43" s="200">
        <f>'Table 1.1.3'!AF43</f>
        <v>3755</v>
      </c>
      <c r="V43" s="200">
        <f>'Table 1.1.3'!AG43</f>
        <v>28618</v>
      </c>
      <c r="W43" s="200">
        <f>'Table 1.1.3'!AH43</f>
        <v>67740</v>
      </c>
      <c r="X43" s="200">
        <f>'Table 1.1.3'!AI43</f>
        <v>17808</v>
      </c>
      <c r="Y43" s="200">
        <f>'Table 1.1.3'!AJ43</f>
        <v>1676</v>
      </c>
      <c r="Z43" s="200">
        <f>'Table 1.1.3'!AK43</f>
        <v>13554</v>
      </c>
      <c r="AA43" s="200">
        <f>'Table 1.1.3'!AL43</f>
        <v>2578</v>
      </c>
      <c r="AB43" s="200">
        <f>'Table 1.1.3'!AQ43</f>
        <v>21635</v>
      </c>
      <c r="AC43" s="200">
        <f>'Table 1.1.3'!AR43</f>
        <v>17471</v>
      </c>
      <c r="AD43" s="200">
        <f>'Table 1.1.3'!AS43</f>
        <v>1156</v>
      </c>
      <c r="AE43" s="200">
        <f>'Table 1.1.3'!AT43</f>
        <v>3008</v>
      </c>
      <c r="AF43" s="200">
        <f>'Table 1.1.3'!AU43</f>
        <v>28297</v>
      </c>
      <c r="AG43" s="200">
        <f>'Table 1.1.3'!AV43</f>
        <v>19745</v>
      </c>
      <c r="AH43" s="200">
        <f>'Table 1.1.3'!AW43</f>
        <v>4707</v>
      </c>
      <c r="AI43" s="200">
        <f>'Table 1.1.3'!AX43</f>
        <v>3845</v>
      </c>
    </row>
    <row r="44" spans="1:35" ht="12.75" customHeight="1">
      <c r="A44" s="199">
        <v>1997</v>
      </c>
      <c r="B44" s="200">
        <f>'Table 1.1'!B74</f>
        <v>1142621</v>
      </c>
      <c r="C44" s="200">
        <f t="shared" si="0"/>
        <v>365753.24</v>
      </c>
      <c r="D44" s="200">
        <f t="shared" si="1"/>
        <v>154757.76000000001</v>
      </c>
      <c r="E44" s="200">
        <f t="shared" si="2"/>
        <v>622110</v>
      </c>
      <c r="F44" s="200">
        <f>'Table 1.1.3'!C44</f>
        <v>163812</v>
      </c>
      <c r="G44" s="200">
        <f>'Table 1.1.3'!D44</f>
        <v>761194</v>
      </c>
      <c r="H44" s="200">
        <f>'Table 1.1.3'!E44</f>
        <v>362428</v>
      </c>
      <c r="I44" s="200">
        <f>'Table 1.1.3'!F44</f>
        <v>210376</v>
      </c>
      <c r="J44" s="200">
        <f>'Table 1.1.3'!G44</f>
        <v>160849</v>
      </c>
      <c r="K44" s="200">
        <f>'Table 1.1.3'!H44</f>
        <v>94954</v>
      </c>
      <c r="L44" s="200">
        <f>'Table 1.1.3'!I44</f>
        <v>65896</v>
      </c>
      <c r="M44" s="200">
        <f t="shared" si="3"/>
        <v>27540</v>
      </c>
      <c r="N44" s="200">
        <f>SUM('Table 1.1.3'!K44,'Table 1.1.3'!M44:N44)</f>
        <v>27540</v>
      </c>
      <c r="O44" s="200">
        <f>'Table 1.1.3'!L44</f>
        <v>0</v>
      </c>
      <c r="P44" s="200">
        <f>'Table 1.1.3'!O44</f>
        <v>110604</v>
      </c>
      <c r="Q44" s="200">
        <f>'Table 1.1.4'!J44</f>
        <v>8677.24</v>
      </c>
      <c r="R44" s="200">
        <f>'Table 1.1.5'!G44</f>
        <v>47736.759999999995</v>
      </c>
      <c r="S44" s="200">
        <f>'Table 1.1.6'!F44</f>
        <v>54188</v>
      </c>
      <c r="T44" s="200">
        <f>'Table 1.1.3'!AE44</f>
        <v>34827</v>
      </c>
      <c r="U44" s="200">
        <f>'Table 1.1.3'!AF44</f>
        <v>3926</v>
      </c>
      <c r="V44" s="200">
        <f>'Table 1.1.3'!AG44</f>
        <v>30901</v>
      </c>
      <c r="W44" s="200">
        <f>'Table 1.1.3'!AH44</f>
        <v>72185</v>
      </c>
      <c r="X44" s="200">
        <f>'Table 1.1.3'!AI44</f>
        <v>19640</v>
      </c>
      <c r="Y44" s="200">
        <f>'Table 1.1.3'!AJ44</f>
        <v>1870</v>
      </c>
      <c r="Z44" s="200">
        <f>'Table 1.1.3'!AK44</f>
        <v>15037</v>
      </c>
      <c r="AA44" s="200">
        <f>'Table 1.1.3'!AL44</f>
        <v>2733</v>
      </c>
      <c r="AB44" s="200">
        <f>'Table 1.1.3'!AQ44</f>
        <v>23153</v>
      </c>
      <c r="AC44" s="200">
        <f>'Table 1.1.3'!AR44</f>
        <v>18582</v>
      </c>
      <c r="AD44" s="200">
        <f>'Table 1.1.3'!AS44</f>
        <v>1346</v>
      </c>
      <c r="AE44" s="200">
        <f>'Table 1.1.3'!AT44</f>
        <v>3225</v>
      </c>
      <c r="AF44" s="200">
        <f>'Table 1.1.3'!AU44</f>
        <v>29392</v>
      </c>
      <c r="AG44" s="200">
        <f>'Table 1.1.3'!AV44</f>
        <v>21229</v>
      </c>
      <c r="AH44" s="200">
        <f>'Table 1.1.3'!AW44</f>
        <v>3897</v>
      </c>
      <c r="AI44" s="200">
        <f>'Table 1.1.3'!AX44</f>
        <v>4266</v>
      </c>
    </row>
    <row r="45" spans="1:35" ht="12.75" customHeight="1">
      <c r="A45" s="199">
        <v>1998</v>
      </c>
      <c r="B45" s="200">
        <f>'Table 1.1'!B75</f>
        <v>1208933</v>
      </c>
      <c r="C45" s="200">
        <f t="shared" si="0"/>
        <v>372864.66</v>
      </c>
      <c r="D45" s="200">
        <f t="shared" si="1"/>
        <v>163108.34</v>
      </c>
      <c r="E45" s="200">
        <f t="shared" si="2"/>
        <v>672960.00000000012</v>
      </c>
      <c r="F45" s="200">
        <f>'Table 1.1.3'!C45</f>
        <v>179413</v>
      </c>
      <c r="G45" s="200">
        <f>'Table 1.1.3'!D45</f>
        <v>795294</v>
      </c>
      <c r="H45" s="200">
        <f>'Table 1.1.3'!E45</f>
        <v>387900</v>
      </c>
      <c r="I45" s="200">
        <f>'Table 1.1.3'!F45</f>
        <v>209420</v>
      </c>
      <c r="J45" s="200">
        <f>'Table 1.1.3'!G45</f>
        <v>169029</v>
      </c>
      <c r="K45" s="200">
        <f>'Table 1.1.3'!H45</f>
        <v>98661</v>
      </c>
      <c r="L45" s="200">
        <f>'Table 1.1.3'!I45</f>
        <v>70368</v>
      </c>
      <c r="M45" s="200">
        <f t="shared" si="3"/>
        <v>28946</v>
      </c>
      <c r="N45" s="200">
        <f>SUM('Table 1.1.3'!K45,'Table 1.1.3'!M45:N45)</f>
        <v>28823</v>
      </c>
      <c r="O45" s="200">
        <f>'Table 1.1.3'!L45</f>
        <v>123</v>
      </c>
      <c r="P45" s="200">
        <f>'Table 1.1.3'!O45</f>
        <v>117347</v>
      </c>
      <c r="Q45" s="200">
        <f>'Table 1.1.4'!J45</f>
        <v>9502.66</v>
      </c>
      <c r="R45" s="200">
        <f>'Table 1.1.5'!G45</f>
        <v>48505.34</v>
      </c>
      <c r="S45" s="200">
        <f>'Table 1.1.6'!F45</f>
        <v>59340</v>
      </c>
      <c r="T45" s="200">
        <f>'Table 1.1.3'!AE45</f>
        <v>37455</v>
      </c>
      <c r="U45" s="200">
        <f>'Table 1.1.3'!AF45</f>
        <v>4063</v>
      </c>
      <c r="V45" s="200">
        <f>'Table 1.1.3'!AG45</f>
        <v>33392</v>
      </c>
      <c r="W45" s="200">
        <f>'Table 1.1.3'!AH45</f>
        <v>79424</v>
      </c>
      <c r="X45" s="200">
        <f>'Table 1.1.3'!AI45</f>
        <v>21506</v>
      </c>
      <c r="Y45" s="200">
        <f>'Table 1.1.3'!AJ45</f>
        <v>2040</v>
      </c>
      <c r="Z45" s="200">
        <f>'Table 1.1.3'!AK45</f>
        <v>16616</v>
      </c>
      <c r="AA45" s="200">
        <f>'Table 1.1.3'!AL45</f>
        <v>2850</v>
      </c>
      <c r="AB45" s="200">
        <f>'Table 1.1.3'!AQ45</f>
        <v>23746</v>
      </c>
      <c r="AC45" s="200">
        <f>'Table 1.1.3'!AR45</f>
        <v>19541</v>
      </c>
      <c r="AD45" s="200">
        <f>'Table 1.1.3'!AS45</f>
        <v>1018</v>
      </c>
      <c r="AE45" s="200">
        <f>'Table 1.1.3'!AT45</f>
        <v>3187</v>
      </c>
      <c r="AF45" s="200">
        <f>'Table 1.1.3'!AU45</f>
        <v>34171</v>
      </c>
      <c r="AG45" s="200">
        <f>'Table 1.1.3'!AV45</f>
        <v>24727</v>
      </c>
      <c r="AH45" s="200">
        <f>'Table 1.1.3'!AW45</f>
        <v>4761</v>
      </c>
      <c r="AI45" s="200">
        <f>'Table 1.1.3'!AX45</f>
        <v>4683</v>
      </c>
    </row>
    <row r="46" spans="1:35" ht="12.75" customHeight="1">
      <c r="A46" s="199">
        <v>1999</v>
      </c>
      <c r="B46" s="200">
        <f>'Table 1.1'!B76</f>
        <v>1286456</v>
      </c>
      <c r="C46" s="200">
        <f t="shared" si="0"/>
        <v>390941.72200000001</v>
      </c>
      <c r="D46" s="200">
        <f t="shared" si="1"/>
        <v>173626.27799999999</v>
      </c>
      <c r="E46" s="200">
        <f t="shared" si="2"/>
        <v>721888</v>
      </c>
      <c r="F46" s="200">
        <f>'Table 1.1.3'!C46</f>
        <v>190448</v>
      </c>
      <c r="G46" s="200">
        <f>'Table 1.1.3'!D46</f>
        <v>848218</v>
      </c>
      <c r="H46" s="200">
        <f>'Table 1.1.3'!E46</f>
        <v>419600</v>
      </c>
      <c r="I46" s="200">
        <f>'Table 1.1.3'!F46</f>
        <v>213173</v>
      </c>
      <c r="J46" s="200">
        <f>'Table 1.1.3'!G46</f>
        <v>183534</v>
      </c>
      <c r="K46" s="200">
        <f>'Table 1.1.3'!H46</f>
        <v>107200</v>
      </c>
      <c r="L46" s="200">
        <f>'Table 1.1.3'!I46</f>
        <v>76334</v>
      </c>
      <c r="M46" s="200">
        <f t="shared" si="3"/>
        <v>31911</v>
      </c>
      <c r="N46" s="200">
        <f>SUM('Table 1.1.3'!K46,'Table 1.1.3'!M46:N46)</f>
        <v>31387</v>
      </c>
      <c r="O46" s="200">
        <f>'Table 1.1.3'!L46</f>
        <v>524</v>
      </c>
      <c r="P46" s="200">
        <f>'Table 1.1.3'!O46</f>
        <v>121557</v>
      </c>
      <c r="Q46" s="200">
        <f>'Table 1.1.4'!J46</f>
        <v>10453.722</v>
      </c>
      <c r="R46" s="200">
        <f>'Table 1.1.5'!G46</f>
        <v>49563.277999999998</v>
      </c>
      <c r="S46" s="200">
        <f>'Table 1.1.6'!F46</f>
        <v>61539</v>
      </c>
      <c r="T46" s="200">
        <f>'Table 1.1.3'!AE46</f>
        <v>40729</v>
      </c>
      <c r="U46" s="200">
        <f>'Table 1.1.3'!AF46</f>
        <v>4544</v>
      </c>
      <c r="V46" s="200">
        <f>'Table 1.1.3'!AG46</f>
        <v>36185</v>
      </c>
      <c r="W46" s="200">
        <f>'Table 1.1.3'!AH46</f>
        <v>85504</v>
      </c>
      <c r="X46" s="200">
        <f>'Table 1.1.3'!AI46</f>
        <v>23369</v>
      </c>
      <c r="Y46" s="200">
        <f>'Table 1.1.3'!AJ46</f>
        <v>2149</v>
      </c>
      <c r="Z46" s="200">
        <f>'Table 1.1.3'!AK46</f>
        <v>18124</v>
      </c>
      <c r="AA46" s="200">
        <f>'Table 1.1.3'!AL46</f>
        <v>3096</v>
      </c>
      <c r="AB46" s="200">
        <f>'Table 1.1.3'!AQ46</f>
        <v>25405</v>
      </c>
      <c r="AC46" s="200">
        <f>'Table 1.1.3'!AR46</f>
        <v>21581</v>
      </c>
      <c r="AD46" s="200">
        <f>'Table 1.1.3'!AS46</f>
        <v>852</v>
      </c>
      <c r="AE46" s="200">
        <f>'Table 1.1.3'!AT46</f>
        <v>2972</v>
      </c>
      <c r="AF46" s="200">
        <f>'Table 1.1.3'!AU46</f>
        <v>36730</v>
      </c>
      <c r="AG46" s="200">
        <f>'Table 1.1.3'!AV46</f>
        <v>26570</v>
      </c>
      <c r="AH46" s="200">
        <f>'Table 1.1.3'!AW46</f>
        <v>5208</v>
      </c>
      <c r="AI46" s="200">
        <f>'Table 1.1.3'!AX46</f>
        <v>4952</v>
      </c>
    </row>
    <row r="47" spans="1:35" ht="18" customHeight="1">
      <c r="A47" s="199">
        <v>2000</v>
      </c>
      <c r="B47" s="200">
        <f>'Table 1.1'!B77</f>
        <v>1377178</v>
      </c>
      <c r="C47" s="200">
        <f t="shared" si="0"/>
        <v>418687.27600000001</v>
      </c>
      <c r="D47" s="200">
        <f t="shared" si="1"/>
        <v>186211.72399999999</v>
      </c>
      <c r="E47" s="200">
        <f t="shared" si="2"/>
        <v>772279</v>
      </c>
      <c r="F47" s="200">
        <f>'Table 1.1.3'!C47</f>
        <v>201737</v>
      </c>
      <c r="G47" s="200">
        <f>'Table 1.1.3'!D47</f>
        <v>920362</v>
      </c>
      <c r="H47" s="200">
        <f>'Table 1.1.3'!E47</f>
        <v>459203</v>
      </c>
      <c r="I47" s="200">
        <f>'Table 1.1.3'!F47</f>
        <v>224829</v>
      </c>
      <c r="J47" s="200">
        <f>'Table 1.1.3'!G47</f>
        <v>200483</v>
      </c>
      <c r="K47" s="200">
        <f>'Table 1.1.3'!H47</f>
        <v>116919</v>
      </c>
      <c r="L47" s="200">
        <f>'Table 1.1.3'!I47</f>
        <v>83564</v>
      </c>
      <c r="M47" s="200">
        <f t="shared" si="3"/>
        <v>35847</v>
      </c>
      <c r="N47" s="200">
        <f>SUM('Table 1.1.3'!K47,'Table 1.1.3'!M47:N47)</f>
        <v>34932</v>
      </c>
      <c r="O47" s="200">
        <f>'Table 1.1.3'!L47</f>
        <v>915</v>
      </c>
      <c r="P47" s="200">
        <f>'Table 1.1.3'!O47</f>
        <v>124486</v>
      </c>
      <c r="Q47" s="200">
        <f>'Table 1.1.4'!J47</f>
        <v>11584.276</v>
      </c>
      <c r="R47" s="200">
        <f>'Table 1.1.5'!G47</f>
        <v>51968.724000000002</v>
      </c>
      <c r="S47" s="200">
        <f>'Table 1.1.6'!F47</f>
        <v>60933</v>
      </c>
      <c r="T47" s="200">
        <f>'Table 1.1.3'!AE47</f>
        <v>43047</v>
      </c>
      <c r="U47" s="200">
        <f>'Table 1.1.3'!AF47</f>
        <v>4876</v>
      </c>
      <c r="V47" s="200">
        <f>'Table 1.1.3'!AG47</f>
        <v>38170</v>
      </c>
      <c r="W47" s="200">
        <f>'Table 1.1.3'!AH47</f>
        <v>87546</v>
      </c>
      <c r="X47" s="200">
        <f>'Table 1.1.3'!AI47</f>
        <v>25465</v>
      </c>
      <c r="Y47" s="200">
        <f>'Table 1.1.3'!AJ47</f>
        <v>2420</v>
      </c>
      <c r="Z47" s="200">
        <f>'Table 1.1.3'!AK47</f>
        <v>19695</v>
      </c>
      <c r="AA47" s="200">
        <f>'Table 1.1.3'!AL47</f>
        <v>3350</v>
      </c>
      <c r="AB47" s="200">
        <f>'Table 1.1.3'!AQ47</f>
        <v>25374</v>
      </c>
      <c r="AC47" s="200">
        <f>'Table 1.1.3'!AR47</f>
        <v>21560</v>
      </c>
      <c r="AD47" s="200">
        <f>'Table 1.1.3'!AS47</f>
        <v>774</v>
      </c>
      <c r="AE47" s="200">
        <f>'Table 1.1.3'!AT47</f>
        <v>3040</v>
      </c>
      <c r="AF47" s="200">
        <f>'Table 1.1.3'!AU47</f>
        <v>36706</v>
      </c>
      <c r="AG47" s="200">
        <f>'Table 1.1.3'!AV47</f>
        <v>26424</v>
      </c>
      <c r="AH47" s="200">
        <f>'Table 1.1.3'!AW47</f>
        <v>5078</v>
      </c>
      <c r="AI47" s="200">
        <f>'Table 1.1.3'!AX47</f>
        <v>5204</v>
      </c>
    </row>
    <row r="48" spans="1:35" ht="12.75" customHeight="1">
      <c r="A48" s="199">
        <v>2001</v>
      </c>
      <c r="B48" s="200">
        <f>'Table 1.1'!B78</f>
        <v>1493347</v>
      </c>
      <c r="C48" s="200">
        <f t="shared" si="0"/>
        <v>466477.32</v>
      </c>
      <c r="D48" s="200">
        <f t="shared" si="1"/>
        <v>204434.68</v>
      </c>
      <c r="E48" s="200">
        <f t="shared" si="2"/>
        <v>822435</v>
      </c>
      <c r="F48" s="200">
        <f>'Table 1.1.3'!C48</f>
        <v>209011</v>
      </c>
      <c r="G48" s="200">
        <f>'Table 1.1.3'!D48</f>
        <v>1015168</v>
      </c>
      <c r="H48" s="200">
        <f>'Table 1.1.3'!E48</f>
        <v>502495</v>
      </c>
      <c r="I48" s="200">
        <f>'Table 1.1.3'!F48</f>
        <v>247686</v>
      </c>
      <c r="J48" s="200">
        <f>'Table 1.1.3'!G48</f>
        <v>224236</v>
      </c>
      <c r="K48" s="200">
        <f>'Table 1.1.3'!H48</f>
        <v>132288</v>
      </c>
      <c r="L48" s="200">
        <f>'Table 1.1.3'!I48</f>
        <v>91948</v>
      </c>
      <c r="M48" s="200">
        <f t="shared" si="3"/>
        <v>40751</v>
      </c>
      <c r="N48" s="200">
        <f>SUM('Table 1.1.3'!K48,'Table 1.1.3'!M48:N48)</f>
        <v>39498</v>
      </c>
      <c r="O48" s="200">
        <f>'Table 1.1.3'!L48</f>
        <v>1253</v>
      </c>
      <c r="P48" s="200">
        <f>'Table 1.1.3'!O48</f>
        <v>131106</v>
      </c>
      <c r="Q48" s="200">
        <f>'Table 1.1.4'!J48</f>
        <v>13058.32</v>
      </c>
      <c r="R48" s="200">
        <f>'Table 1.1.5'!G48</f>
        <v>58023.679999999993</v>
      </c>
      <c r="S48" s="200">
        <f>'Table 1.1.6'!F48</f>
        <v>60023</v>
      </c>
      <c r="T48" s="200">
        <f>'Table 1.1.3'!AE48</f>
        <v>46789</v>
      </c>
      <c r="U48" s="200">
        <f>'Table 1.1.3'!AF48</f>
        <v>5775</v>
      </c>
      <c r="V48" s="200">
        <f>'Table 1.1.3'!AG48</f>
        <v>41013</v>
      </c>
      <c r="W48" s="200">
        <f>'Table 1.1.3'!AH48</f>
        <v>91274</v>
      </c>
      <c r="X48" s="200">
        <f>'Table 1.1.3'!AI48</f>
        <v>28510</v>
      </c>
      <c r="Y48" s="200">
        <f>'Table 1.1.3'!AJ48</f>
        <v>2464</v>
      </c>
      <c r="Z48" s="200">
        <f>'Table 1.1.3'!AK48</f>
        <v>22437</v>
      </c>
      <c r="AA48" s="200">
        <f>'Table 1.1.3'!AL48</f>
        <v>3608</v>
      </c>
      <c r="AB48" s="200">
        <f>'Table 1.1.3'!AQ48</f>
        <v>26118</v>
      </c>
      <c r="AC48" s="200">
        <f>'Table 1.1.3'!AR48</f>
        <v>22081</v>
      </c>
      <c r="AD48" s="200">
        <f>'Table 1.1.3'!AS48</f>
        <v>723</v>
      </c>
      <c r="AE48" s="200">
        <f>'Table 1.1.3'!AT48</f>
        <v>3314</v>
      </c>
      <c r="AF48" s="200">
        <f>'Table 1.1.3'!AU48</f>
        <v>36646</v>
      </c>
      <c r="AG48" s="200">
        <f>'Table 1.1.3'!AV48</f>
        <v>26359</v>
      </c>
      <c r="AH48" s="200">
        <f>'Table 1.1.3'!AW48</f>
        <v>5012</v>
      </c>
      <c r="AI48" s="200">
        <f>'Table 1.1.3'!AX48</f>
        <v>5275</v>
      </c>
    </row>
    <row r="49" spans="1:35" ht="12.75" customHeight="1">
      <c r="A49" s="199">
        <v>2002</v>
      </c>
      <c r="B49" s="200">
        <f>'Table 1.1'!B79</f>
        <v>1637956</v>
      </c>
      <c r="C49" s="200">
        <f t="shared" si="0"/>
        <v>509657.24</v>
      </c>
      <c r="D49" s="200">
        <f t="shared" si="1"/>
        <v>225193.76</v>
      </c>
      <c r="E49" s="200">
        <f t="shared" si="2"/>
        <v>903105</v>
      </c>
      <c r="F49" s="200">
        <f>'Table 1.1.3'!C49</f>
        <v>221866</v>
      </c>
      <c r="G49" s="200">
        <f>'Table 1.1.3'!D49</f>
        <v>1122310</v>
      </c>
      <c r="H49" s="200">
        <f>'Table 1.1.3'!E49</f>
        <v>561417</v>
      </c>
      <c r="I49" s="200">
        <f>'Table 1.1.3'!F49</f>
        <v>265381</v>
      </c>
      <c r="J49" s="200">
        <f>'Table 1.1.3'!G49</f>
        <v>248218</v>
      </c>
      <c r="K49" s="200">
        <f>'Table 1.1.3'!H49</f>
        <v>145339</v>
      </c>
      <c r="L49" s="200">
        <f>'Table 1.1.3'!I49</f>
        <v>102878</v>
      </c>
      <c r="M49" s="200">
        <f t="shared" si="3"/>
        <v>47294</v>
      </c>
      <c r="N49" s="200">
        <f>SUM('Table 1.1.3'!K49,'Table 1.1.3'!M49:N49)</f>
        <v>45641</v>
      </c>
      <c r="O49" s="200">
        <f>'Table 1.1.3'!L49</f>
        <v>1653</v>
      </c>
      <c r="P49" s="200">
        <f>'Table 1.1.3'!O49</f>
        <v>139688</v>
      </c>
      <c r="Q49" s="200">
        <f>'Table 1.1.4'!J49</f>
        <v>13892.24</v>
      </c>
      <c r="R49" s="200">
        <f>'Table 1.1.5'!G49</f>
        <v>63387.759999999995</v>
      </c>
      <c r="S49" s="200">
        <f>'Table 1.1.6'!F49</f>
        <v>62409</v>
      </c>
      <c r="T49" s="200">
        <f>'Table 1.1.3'!AE49</f>
        <v>52047</v>
      </c>
      <c r="U49" s="200">
        <f>'Table 1.1.3'!AF49</f>
        <v>8013</v>
      </c>
      <c r="V49" s="200">
        <f>'Table 1.1.3'!AG49</f>
        <v>44035</v>
      </c>
      <c r="W49" s="200">
        <f>'Table 1.1.3'!AH49</f>
        <v>102044</v>
      </c>
      <c r="X49" s="200">
        <f>'Table 1.1.3'!AI49</f>
        <v>32016</v>
      </c>
      <c r="Y49" s="200">
        <f>'Table 1.1.3'!AJ49</f>
        <v>2550</v>
      </c>
      <c r="Z49" s="200">
        <f>'Table 1.1.3'!AK49</f>
        <v>25569</v>
      </c>
      <c r="AA49" s="200">
        <f>'Table 1.1.3'!AL49</f>
        <v>3897</v>
      </c>
      <c r="AB49" s="200">
        <f>'Table 1.1.3'!AQ49</f>
        <v>29260</v>
      </c>
      <c r="AC49" s="200">
        <f>'Table 1.1.3'!AR49</f>
        <v>24271</v>
      </c>
      <c r="AD49" s="200">
        <f>'Table 1.1.3'!AS49</f>
        <v>875</v>
      </c>
      <c r="AE49" s="200">
        <f>'Table 1.1.3'!AT49</f>
        <v>4114</v>
      </c>
      <c r="AF49" s="200">
        <f>'Table 1.1.3'!AU49</f>
        <v>40768</v>
      </c>
      <c r="AG49" s="200">
        <f>'Table 1.1.3'!AV49</f>
        <v>30592</v>
      </c>
      <c r="AH49" s="200">
        <f>'Table 1.1.3'!AW49</f>
        <v>4947</v>
      </c>
      <c r="AI49" s="200">
        <f>'Table 1.1.3'!AX49</f>
        <v>5229</v>
      </c>
    </row>
    <row r="50" spans="1:35" ht="12.75" customHeight="1">
      <c r="A50" s="199">
        <v>2003</v>
      </c>
      <c r="B50" s="200">
        <f>'Table 1.1'!B80</f>
        <v>1775439</v>
      </c>
      <c r="C50" s="200">
        <f t="shared" si="0"/>
        <v>554858.5</v>
      </c>
      <c r="D50" s="200">
        <f t="shared" si="1"/>
        <v>238923.5</v>
      </c>
      <c r="E50" s="200">
        <f t="shared" si="2"/>
        <v>981657</v>
      </c>
      <c r="F50" s="200">
        <f>'Table 1.1.3'!C50</f>
        <v>236372</v>
      </c>
      <c r="G50" s="200">
        <f>'Table 1.1.3'!D50</f>
        <v>1222746</v>
      </c>
      <c r="H50" s="200">
        <f>'Table 1.1.3'!E50</f>
        <v>615729</v>
      </c>
      <c r="I50" s="200">
        <f>'Table 1.1.3'!F50</f>
        <v>282697</v>
      </c>
      <c r="J50" s="200">
        <f>'Table 1.1.3'!G50</f>
        <v>269105</v>
      </c>
      <c r="K50" s="200">
        <f>'Table 1.1.3'!H50</f>
        <v>160895</v>
      </c>
      <c r="L50" s="200">
        <f>'Table 1.1.3'!I50</f>
        <v>108210</v>
      </c>
      <c r="M50" s="200">
        <f t="shared" si="3"/>
        <v>55216</v>
      </c>
      <c r="N50" s="200">
        <f>SUM('Table 1.1.3'!K50,'Table 1.1.3'!M50:N50)</f>
        <v>53329</v>
      </c>
      <c r="O50" s="200">
        <f>'Table 1.1.3'!L50</f>
        <v>1887</v>
      </c>
      <c r="P50" s="200">
        <f>'Table 1.1.3'!O50</f>
        <v>152826</v>
      </c>
      <c r="Q50" s="200">
        <f>'Table 1.1.4'!J50</f>
        <v>14621.5</v>
      </c>
      <c r="R50" s="200">
        <f>'Table 1.1.5'!G50</f>
        <v>70275.5</v>
      </c>
      <c r="S50" s="200">
        <f>'Table 1.1.6'!F50</f>
        <v>67929</v>
      </c>
      <c r="T50" s="200">
        <f>'Table 1.1.3'!AE50</f>
        <v>53531</v>
      </c>
      <c r="U50" s="200">
        <f>'Table 1.1.3'!AF50</f>
        <v>8893</v>
      </c>
      <c r="V50" s="200">
        <f>'Table 1.1.3'!AG50</f>
        <v>44637</v>
      </c>
      <c r="W50" s="200">
        <f>'Table 1.1.3'!AH50</f>
        <v>109964</v>
      </c>
      <c r="X50" s="200">
        <f>'Table 1.1.3'!AI50</f>
        <v>34863</v>
      </c>
      <c r="Y50" s="200">
        <f>'Table 1.1.3'!AJ50</f>
        <v>2738</v>
      </c>
      <c r="Z50" s="200">
        <f>'Table 1.1.3'!AK50</f>
        <v>27905</v>
      </c>
      <c r="AA50" s="200">
        <f>'Table 1.1.3'!AL50</f>
        <v>4221</v>
      </c>
      <c r="AB50" s="200">
        <f>'Table 1.1.3'!AQ50</f>
        <v>30911</v>
      </c>
      <c r="AC50" s="200">
        <f>'Table 1.1.3'!AR50</f>
        <v>26059</v>
      </c>
      <c r="AD50" s="200">
        <f>'Table 1.1.3'!AS50</f>
        <v>667</v>
      </c>
      <c r="AE50" s="200">
        <f>'Table 1.1.3'!AT50</f>
        <v>4185</v>
      </c>
      <c r="AF50" s="200">
        <f>'Table 1.1.3'!AU50</f>
        <v>44190</v>
      </c>
      <c r="AG50" s="200">
        <f>'Table 1.1.3'!AV50</f>
        <v>32831</v>
      </c>
      <c r="AH50" s="200">
        <f>'Table 1.1.3'!AW50</f>
        <v>5851</v>
      </c>
      <c r="AI50" s="200">
        <f>'Table 1.1.3'!AX50</f>
        <v>5508</v>
      </c>
    </row>
    <row r="51" spans="1:35" ht="12.75" customHeight="1">
      <c r="A51" s="199">
        <v>2004</v>
      </c>
      <c r="B51" s="200">
        <f>'Table 1.1'!B81</f>
        <v>1901599</v>
      </c>
      <c r="C51" s="200">
        <f t="shared" si="0"/>
        <v>602532.95600000001</v>
      </c>
      <c r="D51" s="200">
        <f t="shared" si="1"/>
        <v>254111.04399999999</v>
      </c>
      <c r="E51" s="200">
        <f t="shared" si="2"/>
        <v>1044955</v>
      </c>
      <c r="F51" s="200">
        <f>'Table 1.1.3'!C51</f>
        <v>248461</v>
      </c>
      <c r="G51" s="200">
        <f>'Table 1.1.3'!D51</f>
        <v>1322906</v>
      </c>
      <c r="H51" s="200">
        <f>'Table 1.1.3'!E51</f>
        <v>660495</v>
      </c>
      <c r="I51" s="200">
        <f>'Table 1.1.3'!F51</f>
        <v>311162</v>
      </c>
      <c r="J51" s="200">
        <f>'Table 1.1.3'!G51</f>
        <v>290917</v>
      </c>
      <c r="K51" s="200">
        <f>'Table 1.1.3'!H51</f>
        <v>172437</v>
      </c>
      <c r="L51" s="200">
        <f>'Table 1.1.3'!I51</f>
        <v>118480</v>
      </c>
      <c r="M51" s="200">
        <f t="shared" si="3"/>
        <v>60331</v>
      </c>
      <c r="N51" s="200">
        <f>SUM('Table 1.1.3'!K51,'Table 1.1.3'!M51:N51)</f>
        <v>58146</v>
      </c>
      <c r="O51" s="200">
        <f>'Table 1.1.3'!L51</f>
        <v>2185</v>
      </c>
      <c r="P51" s="200">
        <f>'Table 1.1.3'!O51</f>
        <v>159045</v>
      </c>
      <c r="Q51" s="200">
        <f>'Table 1.1.4'!J51</f>
        <v>15112.956</v>
      </c>
      <c r="R51" s="200">
        <f>'Table 1.1.5'!G51</f>
        <v>73748.043999999994</v>
      </c>
      <c r="S51" s="200">
        <f>'Table 1.1.6'!F51</f>
        <v>70185</v>
      </c>
      <c r="T51" s="200">
        <f>'Table 1.1.3'!AE51</f>
        <v>53782</v>
      </c>
      <c r="U51" s="200">
        <f>'Table 1.1.3'!AF51</f>
        <v>8942</v>
      </c>
      <c r="V51" s="200">
        <f>'Table 1.1.3'!AG51</f>
        <v>44840</v>
      </c>
      <c r="W51" s="200">
        <f>'Table 1.1.3'!AH51</f>
        <v>117404</v>
      </c>
      <c r="X51" s="200">
        <f>'Table 1.1.3'!AI51</f>
        <v>38508</v>
      </c>
      <c r="Y51" s="200">
        <f>'Table 1.1.3'!AJ51</f>
        <v>2991</v>
      </c>
      <c r="Z51" s="200">
        <f>'Table 1.1.3'!AK51</f>
        <v>31001</v>
      </c>
      <c r="AA51" s="200">
        <f>'Table 1.1.3'!AL51</f>
        <v>4516</v>
      </c>
      <c r="AB51" s="200">
        <f>'Table 1.1.3'!AQ51</f>
        <v>33062</v>
      </c>
      <c r="AC51" s="200">
        <f>'Table 1.1.3'!AR51</f>
        <v>27971</v>
      </c>
      <c r="AD51" s="200">
        <f>'Table 1.1.3'!AS51</f>
        <v>659</v>
      </c>
      <c r="AE51" s="200">
        <f>'Table 1.1.3'!AT51</f>
        <v>4432</v>
      </c>
      <c r="AF51" s="200">
        <f>'Table 1.1.3'!AU51</f>
        <v>45834</v>
      </c>
      <c r="AG51" s="200">
        <f>'Table 1.1.3'!AV51</f>
        <v>34851</v>
      </c>
      <c r="AH51" s="200">
        <f>'Table 1.1.3'!AW51</f>
        <v>5073</v>
      </c>
      <c r="AI51" s="200">
        <f>'Table 1.1.3'!AX51</f>
        <v>5910</v>
      </c>
    </row>
    <row r="52" spans="1:35" ht="12.75" customHeight="1">
      <c r="A52" s="199">
        <v>2005</v>
      </c>
      <c r="B52" s="200">
        <f>'Table 1.1'!B82</f>
        <v>2030497</v>
      </c>
      <c r="C52" s="200">
        <f t="shared" si="0"/>
        <v>642629.99100000004</v>
      </c>
      <c r="D52" s="200">
        <f t="shared" si="1"/>
        <v>274634.00899999996</v>
      </c>
      <c r="E52" s="200">
        <f t="shared" si="2"/>
        <v>1113233</v>
      </c>
      <c r="F52" s="200">
        <f>'Table 1.1.3'!C52</f>
        <v>262897</v>
      </c>
      <c r="G52" s="200">
        <f>'Table 1.1.3'!D52</f>
        <v>1417506</v>
      </c>
      <c r="H52" s="200">
        <f>'Table 1.1.3'!E52</f>
        <v>704039</v>
      </c>
      <c r="I52" s="200">
        <f>'Table 1.1.3'!F52</f>
        <v>339801</v>
      </c>
      <c r="J52" s="200">
        <f>'Table 1.1.3'!G52</f>
        <v>309538</v>
      </c>
      <c r="K52" s="200">
        <f>'Table 1.1.3'!H52</f>
        <v>177644</v>
      </c>
      <c r="L52" s="200">
        <f>'Table 1.1.3'!I52</f>
        <v>131895</v>
      </c>
      <c r="M52" s="200">
        <f t="shared" si="3"/>
        <v>64128</v>
      </c>
      <c r="N52" s="200">
        <f>SUM('Table 1.1.3'!K52,'Table 1.1.3'!M52:N52)</f>
        <v>61815</v>
      </c>
      <c r="O52" s="200">
        <f>'Table 1.1.3'!L52</f>
        <v>2313</v>
      </c>
      <c r="P52" s="200">
        <f>'Table 1.1.3'!O52</f>
        <v>167612</v>
      </c>
      <c r="Q52" s="200">
        <f>'Table 1.1.4'!J52</f>
        <v>15384.991</v>
      </c>
      <c r="R52" s="200">
        <f>'Table 1.1.5'!G52</f>
        <v>77683.008999999991</v>
      </c>
      <c r="S52" s="200">
        <f>'Table 1.1.6'!F52</f>
        <v>74545</v>
      </c>
      <c r="T52" s="200">
        <f>'Table 1.1.3'!AE52</f>
        <v>55974</v>
      </c>
      <c r="U52" s="200">
        <f>'Table 1.1.3'!AF52</f>
        <v>9129</v>
      </c>
      <c r="V52" s="200">
        <f>'Table 1.1.3'!AG52</f>
        <v>46846</v>
      </c>
      <c r="W52" s="200">
        <f>'Table 1.1.3'!AH52</f>
        <v>126508</v>
      </c>
      <c r="X52" s="200">
        <f>'Table 1.1.3'!AI52</f>
        <v>40322</v>
      </c>
      <c r="Y52" s="200">
        <f>'Table 1.1.3'!AJ52</f>
        <v>3347</v>
      </c>
      <c r="Z52" s="200">
        <f>'Table 1.1.3'!AK52</f>
        <v>32389</v>
      </c>
      <c r="AA52" s="200">
        <f>'Table 1.1.3'!AL52</f>
        <v>4586</v>
      </c>
      <c r="AB52" s="200">
        <f>'Table 1.1.3'!AQ52</f>
        <v>36206</v>
      </c>
      <c r="AC52" s="200">
        <f>'Table 1.1.3'!AR52</f>
        <v>30465</v>
      </c>
      <c r="AD52" s="200">
        <f>'Table 1.1.3'!AS52</f>
        <v>759</v>
      </c>
      <c r="AE52" s="200">
        <f>'Table 1.1.3'!AT52</f>
        <v>4982</v>
      </c>
      <c r="AF52" s="200">
        <f>'Table 1.1.3'!AU52</f>
        <v>49980</v>
      </c>
      <c r="AG52" s="200">
        <f>'Table 1.1.3'!AV52</f>
        <v>37943</v>
      </c>
      <c r="AH52" s="200">
        <f>'Table 1.1.3'!AW52</f>
        <v>5708</v>
      </c>
      <c r="AI52" s="200">
        <f>'Table 1.1.3'!AX52</f>
        <v>6329</v>
      </c>
    </row>
    <row r="53" spans="1:35" ht="12.75" customHeight="1">
      <c r="A53" s="199">
        <v>2006</v>
      </c>
      <c r="B53" s="200">
        <f>'Table 1.1'!B83</f>
        <v>2163293</v>
      </c>
      <c r="C53" s="200">
        <f t="shared" si="0"/>
        <v>709214.82</v>
      </c>
      <c r="D53" s="200">
        <f t="shared" si="1"/>
        <v>283410.18</v>
      </c>
      <c r="E53" s="200">
        <f t="shared" si="2"/>
        <v>1170668.0000000002</v>
      </c>
      <c r="F53" s="200">
        <f>'Table 1.1.3'!C53</f>
        <v>271639</v>
      </c>
      <c r="G53" s="200">
        <f>'Table 1.1.3'!D53</f>
        <v>1522116</v>
      </c>
      <c r="H53" s="200">
        <f>'Table 1.1.3'!E53</f>
        <v>741641</v>
      </c>
      <c r="I53" s="200">
        <f>'Table 1.1.3'!F53</f>
        <v>403728</v>
      </c>
      <c r="J53" s="200">
        <f>'Table 1.1.3'!G53</f>
        <v>306865</v>
      </c>
      <c r="K53" s="200">
        <f>'Table 1.1.3'!H53</f>
        <v>174074</v>
      </c>
      <c r="L53" s="200">
        <f>'Table 1.1.3'!I53</f>
        <v>132792</v>
      </c>
      <c r="M53" s="200">
        <f t="shared" si="3"/>
        <v>69882</v>
      </c>
      <c r="N53" s="200">
        <f>SUM('Table 1.1.3'!K53,'Table 1.1.3'!M53:N53)</f>
        <v>67272</v>
      </c>
      <c r="O53" s="200">
        <f>'Table 1.1.3'!L53</f>
        <v>2610</v>
      </c>
      <c r="P53" s="200">
        <f>'Table 1.1.3'!O53</f>
        <v>176336</v>
      </c>
      <c r="Q53" s="200">
        <f>'Table 1.1.4'!J53</f>
        <v>15598.82</v>
      </c>
      <c r="R53" s="200">
        <f>'Table 1.1.5'!G53</f>
        <v>79076.179999999993</v>
      </c>
      <c r="S53" s="200">
        <f>'Table 1.1.6'!F53</f>
        <v>81661</v>
      </c>
      <c r="T53" s="200">
        <f>'Table 1.1.3'!AE53</f>
        <v>62260</v>
      </c>
      <c r="U53" s="200">
        <f>'Table 1.1.3'!AF53</f>
        <v>9481</v>
      </c>
      <c r="V53" s="200">
        <f>'Table 1.1.3'!AG53</f>
        <v>52779</v>
      </c>
      <c r="W53" s="200">
        <f>'Table 1.1.3'!AH53</f>
        <v>130942</v>
      </c>
      <c r="X53" s="200">
        <f>'Table 1.1.3'!AI53</f>
        <v>41388</v>
      </c>
      <c r="Y53" s="200">
        <f>'Table 1.1.3'!AJ53</f>
        <v>3556</v>
      </c>
      <c r="Z53" s="200">
        <f>'Table 1.1.3'!AK53</f>
        <v>33046</v>
      </c>
      <c r="AA53" s="200">
        <f>'Table 1.1.3'!AL53</f>
        <v>4785</v>
      </c>
      <c r="AB53" s="200">
        <f>'Table 1.1.3'!AQ53</f>
        <v>40627</v>
      </c>
      <c r="AC53" s="200">
        <f>'Table 1.1.3'!AR53</f>
        <v>35277</v>
      </c>
      <c r="AD53" s="200">
        <f>'Table 1.1.3'!AS53</f>
        <v>746</v>
      </c>
      <c r="AE53" s="200">
        <f>'Table 1.1.3'!AT53</f>
        <v>4604</v>
      </c>
      <c r="AF53" s="200">
        <f>'Table 1.1.3'!AU53</f>
        <v>48928</v>
      </c>
      <c r="AG53" s="200">
        <f>'Table 1.1.3'!AV53</f>
        <v>36895</v>
      </c>
      <c r="AH53" s="200">
        <f>'Table 1.1.3'!AW53</f>
        <v>5269</v>
      </c>
      <c r="AI53" s="200">
        <f>'Table 1.1.3'!AX53</f>
        <v>6764</v>
      </c>
    </row>
    <row r="54" spans="1:35" ht="12.75" customHeight="1">
      <c r="A54" s="199">
        <v>2007</v>
      </c>
      <c r="B54" s="200">
        <f>'Table 1.1'!B84</f>
        <v>2298269</v>
      </c>
      <c r="C54" s="200">
        <f t="shared" si="0"/>
        <v>756889.22</v>
      </c>
      <c r="D54" s="200">
        <f t="shared" si="1"/>
        <v>300207.78000000003</v>
      </c>
      <c r="E54" s="200">
        <f t="shared" si="2"/>
        <v>1241172</v>
      </c>
      <c r="F54" s="200">
        <f>'Table 1.1.3'!C54</f>
        <v>286056</v>
      </c>
      <c r="G54" s="200">
        <f>'Table 1.1.3'!D54</f>
        <v>1613869</v>
      </c>
      <c r="H54" s="200">
        <f>'Table 1.1.3'!E54</f>
        <v>778906</v>
      </c>
      <c r="I54" s="200">
        <f>'Table 1.1.3'!F54</f>
        <v>433554</v>
      </c>
      <c r="J54" s="200">
        <f>'Table 1.1.3'!G54</f>
        <v>326157</v>
      </c>
      <c r="K54" s="200">
        <f>'Table 1.1.3'!H54</f>
        <v>185751</v>
      </c>
      <c r="L54" s="200">
        <f>'Table 1.1.3'!I54</f>
        <v>140406</v>
      </c>
      <c r="M54" s="200">
        <f t="shared" si="3"/>
        <v>75252</v>
      </c>
      <c r="N54" s="200">
        <f>SUM('Table 1.1.3'!K54,'Table 1.1.3'!M54:N54)</f>
        <v>72451</v>
      </c>
      <c r="O54" s="200">
        <f>'Table 1.1.3'!L54</f>
        <v>2801</v>
      </c>
      <c r="P54" s="200">
        <f>'Table 1.1.3'!O54</f>
        <v>186022</v>
      </c>
      <c r="Q54" s="200">
        <f>'Table 1.1.4'!J54</f>
        <v>15978.22</v>
      </c>
      <c r="R54" s="200">
        <f>'Table 1.1.5'!G54</f>
        <v>79796.78</v>
      </c>
      <c r="S54" s="200">
        <f>'Table 1.1.6'!F54</f>
        <v>90247</v>
      </c>
      <c r="T54" s="200">
        <f>'Table 1.1.3'!AE54</f>
        <v>68672</v>
      </c>
      <c r="U54" s="200">
        <f>'Table 1.1.3'!AF54</f>
        <v>9652</v>
      </c>
      <c r="V54" s="200">
        <f>'Table 1.1.3'!AG54</f>
        <v>59020</v>
      </c>
      <c r="W54" s="200">
        <f>'Table 1.1.3'!AH54</f>
        <v>143651</v>
      </c>
      <c r="X54" s="200">
        <f>'Table 1.1.3'!AI54</f>
        <v>41933</v>
      </c>
      <c r="Y54" s="200">
        <f>'Table 1.1.3'!AJ54</f>
        <v>3782</v>
      </c>
      <c r="Z54" s="200">
        <f>'Table 1.1.3'!AK54</f>
        <v>33015</v>
      </c>
      <c r="AA54" s="200">
        <f>'Table 1.1.3'!AL54</f>
        <v>5137</v>
      </c>
      <c r="AB54" s="200">
        <f>'Table 1.1.3'!AQ54</f>
        <v>46515</v>
      </c>
      <c r="AC54" s="200">
        <f>'Table 1.1.3'!AR54</f>
        <v>39802</v>
      </c>
      <c r="AD54" s="200">
        <f>'Table 1.1.3'!AS54</f>
        <v>1014</v>
      </c>
      <c r="AE54" s="200">
        <f>'Table 1.1.3'!AT54</f>
        <v>5699</v>
      </c>
      <c r="AF54" s="200">
        <f>'Table 1.1.3'!AU54</f>
        <v>55203</v>
      </c>
      <c r="AG54" s="200">
        <f>'Table 1.1.3'!AV54</f>
        <v>42381</v>
      </c>
      <c r="AH54" s="200">
        <f>'Table 1.1.3'!AW54</f>
        <v>5474</v>
      </c>
      <c r="AI54" s="200">
        <f>'Table 1.1.3'!AX54</f>
        <v>7348</v>
      </c>
    </row>
    <row r="55" spans="1:35" ht="12.75" customHeight="1">
      <c r="A55" s="199">
        <v>2008</v>
      </c>
      <c r="B55" s="200">
        <f>'Table 1.1'!B85</f>
        <v>2406644</v>
      </c>
      <c r="C55" s="200">
        <f t="shared" si="0"/>
        <v>818868.46200000006</v>
      </c>
      <c r="D55" s="200">
        <f t="shared" si="1"/>
        <v>307670.538</v>
      </c>
      <c r="E55" s="200">
        <f t="shared" si="2"/>
        <v>1280105</v>
      </c>
      <c r="F55" s="200">
        <f>'Table 1.1.3'!C55</f>
        <v>292999</v>
      </c>
      <c r="G55" s="200">
        <f>'Table 1.1.3'!D55</f>
        <v>1705180</v>
      </c>
      <c r="H55" s="200">
        <f>'Table 1.1.3'!E55</f>
        <v>809466</v>
      </c>
      <c r="I55" s="200">
        <f>'Table 1.1.3'!F55</f>
        <v>468238</v>
      </c>
      <c r="J55" s="200">
        <f>'Table 1.1.3'!G55</f>
        <v>344916</v>
      </c>
      <c r="K55" s="200">
        <f>'Table 1.1.3'!H55</f>
        <v>203526</v>
      </c>
      <c r="L55" s="200">
        <f>'Table 1.1.3'!I55</f>
        <v>141390</v>
      </c>
      <c r="M55" s="200">
        <f t="shared" si="3"/>
        <v>82560</v>
      </c>
      <c r="N55" s="200">
        <f>SUM('Table 1.1.3'!K55,'Table 1.1.3'!M55:N55)</f>
        <v>79476</v>
      </c>
      <c r="O55" s="200">
        <f>'Table 1.1.3'!L55</f>
        <v>3084</v>
      </c>
      <c r="P55" s="200">
        <f>'Table 1.1.3'!O55</f>
        <v>182025</v>
      </c>
      <c r="Q55" s="200">
        <f>'Table 1.1.4'!J55</f>
        <v>16251.462</v>
      </c>
      <c r="R55" s="200">
        <f>'Table 1.1.5'!G55</f>
        <v>80587.538</v>
      </c>
      <c r="S55" s="200">
        <f>'Table 1.1.6'!F55</f>
        <v>85186</v>
      </c>
      <c r="T55" s="200">
        <f>'Table 1.1.3'!AE55</f>
        <v>72638</v>
      </c>
      <c r="U55" s="200">
        <f>'Table 1.1.3'!AF55</f>
        <v>9823</v>
      </c>
      <c r="V55" s="200">
        <f>'Table 1.1.3'!AG55</f>
        <v>62815</v>
      </c>
      <c r="W55" s="200">
        <f>'Table 1.1.3'!AH55</f>
        <v>153802</v>
      </c>
      <c r="X55" s="200">
        <f>'Table 1.1.3'!AI55</f>
        <v>43382</v>
      </c>
      <c r="Y55" s="200">
        <f>'Table 1.1.3'!AJ55</f>
        <v>4005</v>
      </c>
      <c r="Z55" s="200">
        <f>'Table 1.1.3'!AK55</f>
        <v>33796</v>
      </c>
      <c r="AA55" s="200">
        <f>'Table 1.1.3'!AL55</f>
        <v>5582</v>
      </c>
      <c r="AB55" s="200">
        <f>'Table 1.1.3'!AQ55</f>
        <v>51714</v>
      </c>
      <c r="AC55" s="200">
        <f>'Table 1.1.3'!AR55</f>
        <v>44584</v>
      </c>
      <c r="AD55" s="200">
        <f>'Table 1.1.3'!AS55</f>
        <v>944</v>
      </c>
      <c r="AE55" s="200">
        <f>'Table 1.1.3'!AT55</f>
        <v>6186</v>
      </c>
      <c r="AF55" s="200">
        <f>'Table 1.1.3'!AU55</f>
        <v>58706</v>
      </c>
      <c r="AG55" s="200">
        <f>'Table 1.1.3'!AV55</f>
        <v>43866</v>
      </c>
      <c r="AH55" s="200">
        <f>'Table 1.1.3'!AW55</f>
        <v>6814</v>
      </c>
      <c r="AI55" s="200">
        <f>'Table 1.1.3'!AX55</f>
        <v>8026</v>
      </c>
    </row>
    <row r="56" spans="1:35" ht="12.75" customHeight="1">
      <c r="A56" s="199">
        <v>2009</v>
      </c>
      <c r="B56" s="200">
        <f>'Table 1.1'!B86</f>
        <v>2501171</v>
      </c>
      <c r="C56" s="200">
        <f t="shared" si="0"/>
        <v>908610.50699999998</v>
      </c>
      <c r="D56" s="200">
        <f t="shared" si="1"/>
        <v>292050.49300000002</v>
      </c>
      <c r="E56" s="200">
        <f t="shared" si="2"/>
        <v>1300510</v>
      </c>
      <c r="F56" s="200">
        <f>'Table 1.1.3'!C56</f>
        <v>293329</v>
      </c>
      <c r="G56" s="200">
        <f>'Table 1.1.3'!D56</f>
        <v>1801055</v>
      </c>
      <c r="H56" s="200">
        <f>'Table 1.1.3'!E56</f>
        <v>834993</v>
      </c>
      <c r="I56" s="200">
        <f>'Table 1.1.3'!F56</f>
        <v>500427</v>
      </c>
      <c r="J56" s="200">
        <f>'Table 1.1.3'!G56</f>
        <v>375395</v>
      </c>
      <c r="K56" s="200">
        <f>'Table 1.1.3'!H56</f>
        <v>248109</v>
      </c>
      <c r="L56" s="200">
        <f>'Table 1.1.3'!I56</f>
        <v>127286</v>
      </c>
      <c r="M56" s="200">
        <f t="shared" si="3"/>
        <v>90240</v>
      </c>
      <c r="N56" s="200">
        <f>SUM('Table 1.1.3'!K56,'Table 1.1.3'!M56:N56)</f>
        <v>86947</v>
      </c>
      <c r="O56" s="200">
        <f>'Table 1.1.3'!L56</f>
        <v>3293</v>
      </c>
      <c r="P56" s="200">
        <f>'Table 1.1.3'!O56</f>
        <v>185122</v>
      </c>
      <c r="Q56" s="200">
        <f>'Table 1.1.4'!J56</f>
        <v>16991.506999999998</v>
      </c>
      <c r="R56" s="200">
        <f>'Table 1.1.5'!G56</f>
        <v>78092.493000000002</v>
      </c>
      <c r="S56" s="200">
        <f>'Table 1.1.6'!F56</f>
        <v>90037</v>
      </c>
      <c r="T56" s="200">
        <f>'Table 1.1.3'!AE56</f>
        <v>75606</v>
      </c>
      <c r="U56" s="200">
        <f>'Table 1.1.3'!AF56</f>
        <v>11922</v>
      </c>
      <c r="V56" s="200">
        <f>'Table 1.1.3'!AG56</f>
        <v>63684</v>
      </c>
      <c r="W56" s="200">
        <f>'Table 1.1.3'!AH56</f>
        <v>146059</v>
      </c>
      <c r="X56" s="200">
        <f>'Table 1.1.3'!AI56</f>
        <v>45263</v>
      </c>
      <c r="Y56" s="200">
        <f>'Table 1.1.3'!AJ56</f>
        <v>4117</v>
      </c>
      <c r="Z56" s="200">
        <f>'Table 1.1.3'!AK56</f>
        <v>35163</v>
      </c>
      <c r="AA56" s="200">
        <f>'Table 1.1.3'!AL56</f>
        <v>5983</v>
      </c>
      <c r="AB56" s="200">
        <f>'Table 1.1.3'!AQ56</f>
        <v>46818</v>
      </c>
      <c r="AC56" s="200">
        <f>'Table 1.1.3'!AR56</f>
        <v>39014</v>
      </c>
      <c r="AD56" s="200">
        <f>'Table 1.1.3'!AS56</f>
        <v>1763</v>
      </c>
      <c r="AE56" s="200">
        <f>'Table 1.1.3'!AT56</f>
        <v>6041</v>
      </c>
      <c r="AF56" s="200">
        <f>'Table 1.1.3'!AU56</f>
        <v>53978</v>
      </c>
      <c r="AG56" s="200">
        <f>'Table 1.1.3'!AV56</f>
        <v>39019</v>
      </c>
      <c r="AH56" s="200">
        <f>'Table 1.1.3'!AW56</f>
        <v>7288</v>
      </c>
      <c r="AI56" s="200">
        <f>'Table 1.1.3'!AX56</f>
        <v>7671</v>
      </c>
    </row>
    <row r="57" spans="1:35" ht="18" customHeight="1">
      <c r="A57" s="199">
        <v>2010</v>
      </c>
      <c r="B57" s="200">
        <f>'Table 1.1'!B87</f>
        <v>2599951</v>
      </c>
      <c r="C57" s="200">
        <f t="shared" si="0"/>
        <v>961682.25600000005</v>
      </c>
      <c r="D57" s="200">
        <f t="shared" si="1"/>
        <v>296655.74400000001</v>
      </c>
      <c r="E57" s="200">
        <f t="shared" si="2"/>
        <v>1341613</v>
      </c>
      <c r="F57" s="200">
        <f>'Table 1.1.3'!C57</f>
        <v>299410</v>
      </c>
      <c r="G57" s="200">
        <f>'Table 1.1.3'!D57</f>
        <v>1879422</v>
      </c>
      <c r="H57" s="200">
        <f>'Table 1.1.3'!E57</f>
        <v>863702</v>
      </c>
      <c r="I57" s="200">
        <f>'Table 1.1.3'!F57</f>
        <v>521990</v>
      </c>
      <c r="J57" s="200">
        <f>'Table 1.1.3'!G57</f>
        <v>397688</v>
      </c>
      <c r="K57" s="200">
        <f>'Table 1.1.3'!H57</f>
        <v>267156</v>
      </c>
      <c r="L57" s="200">
        <f>'Table 1.1.3'!I57</f>
        <v>130532</v>
      </c>
      <c r="M57" s="200">
        <f t="shared" si="3"/>
        <v>96043</v>
      </c>
      <c r="N57" s="200">
        <f>SUM('Table 1.1.3'!K57,'Table 1.1.3'!M57:N57)</f>
        <v>92522</v>
      </c>
      <c r="O57" s="200">
        <f>'Table 1.1.3'!L57</f>
        <v>3521</v>
      </c>
      <c r="P57" s="200">
        <f>'Table 1.1.3'!O57</f>
        <v>192659</v>
      </c>
      <c r="Q57" s="200">
        <f>'Table 1.1.4'!J57</f>
        <v>17905.256000000001</v>
      </c>
      <c r="R57" s="200">
        <f>'Table 1.1.5'!G57</f>
        <v>77884.744000000006</v>
      </c>
      <c r="S57" s="200">
        <f>'Table 1.1.6'!F57</f>
        <v>96869</v>
      </c>
      <c r="T57" s="200">
        <f>'Table 1.1.3'!AE57</f>
        <v>79337</v>
      </c>
      <c r="U57" s="200">
        <f>'Table 1.1.3'!AF57</f>
        <v>13894</v>
      </c>
      <c r="V57" s="200">
        <f>'Table 1.1.3'!AG57</f>
        <v>65443</v>
      </c>
      <c r="W57" s="200">
        <f>'Table 1.1.3'!AH57</f>
        <v>149123</v>
      </c>
      <c r="X57" s="200">
        <f>'Table 1.1.3'!AI57</f>
        <v>48997</v>
      </c>
      <c r="Y57" s="200">
        <f>'Table 1.1.3'!AJ57</f>
        <v>4166</v>
      </c>
      <c r="Z57" s="200">
        <f>'Table 1.1.3'!AK57</f>
        <v>38667</v>
      </c>
      <c r="AA57" s="200">
        <f>'Table 1.1.3'!AL57</f>
        <v>6164</v>
      </c>
      <c r="AB57" s="200">
        <f>'Table 1.1.3'!AQ57</f>
        <v>45852</v>
      </c>
      <c r="AC57" s="200">
        <f>'Table 1.1.3'!AR57</f>
        <v>38129</v>
      </c>
      <c r="AD57" s="200">
        <f>'Table 1.1.3'!AS57</f>
        <v>2127</v>
      </c>
      <c r="AE57" s="200">
        <f>'Table 1.1.3'!AT57</f>
        <v>5596</v>
      </c>
      <c r="AF57" s="200">
        <f>'Table 1.1.3'!AU57</f>
        <v>54275</v>
      </c>
      <c r="AG57" s="200">
        <f>'Table 1.1.3'!AV57</f>
        <v>39338</v>
      </c>
      <c r="AH57" s="200">
        <f>'Table 1.1.3'!AW57</f>
        <v>7421</v>
      </c>
      <c r="AI57" s="200">
        <f>'Table 1.1.3'!AX57</f>
        <v>7515</v>
      </c>
    </row>
    <row r="58" spans="1:35" ht="12.75" customHeight="1">
      <c r="A58" s="199">
        <v>2011</v>
      </c>
      <c r="B58" s="200">
        <f>'Table 1.1'!B88</f>
        <v>2700739</v>
      </c>
      <c r="C58" s="200">
        <f t="shared" si="0"/>
        <v>981367.00639999995</v>
      </c>
      <c r="D58" s="200">
        <f t="shared" si="1"/>
        <v>331103.99359999999</v>
      </c>
      <c r="E58" s="200">
        <f t="shared" si="2"/>
        <v>1388268.0000000002</v>
      </c>
      <c r="F58" s="200">
        <f>'Table 1.1.3'!C58</f>
        <v>307680</v>
      </c>
      <c r="G58" s="200">
        <f>'Table 1.1.3'!D58</f>
        <v>1960095</v>
      </c>
      <c r="H58" s="200">
        <f>'Table 1.1.3'!E58</f>
        <v>896348</v>
      </c>
      <c r="I58" s="200">
        <f>'Table 1.1.3'!F58</f>
        <v>554299</v>
      </c>
      <c r="J58" s="200">
        <f>'Table 1.1.3'!G58</f>
        <v>407650</v>
      </c>
      <c r="K58" s="200">
        <f>'Table 1.1.3'!H58</f>
        <v>248176</v>
      </c>
      <c r="L58" s="200">
        <f>'Table 1.1.3'!I58</f>
        <v>159474</v>
      </c>
      <c r="M58" s="200">
        <f t="shared" si="3"/>
        <v>101797</v>
      </c>
      <c r="N58" s="200">
        <f>SUM('Table 1.1.3'!K58,'Table 1.1.3'!M58:N58)</f>
        <v>98175</v>
      </c>
      <c r="O58" s="200">
        <f>'Table 1.1.3'!L58</f>
        <v>3622</v>
      </c>
      <c r="P58" s="200">
        <f>'Table 1.1.3'!O58</f>
        <v>200479</v>
      </c>
      <c r="Q58" s="200">
        <f>'Table 1.1.4'!J58</f>
        <v>19827.006399999998</v>
      </c>
      <c r="R58" s="200">
        <f>'Table 1.1.5'!G58</f>
        <v>79289.993600000002</v>
      </c>
      <c r="S58" s="200">
        <f>'Table 1.1.6'!F58</f>
        <v>101362</v>
      </c>
      <c r="T58" s="200">
        <f>'Table 1.1.3'!AE58</f>
        <v>78965</v>
      </c>
      <c r="U58" s="200">
        <f>'Table 1.1.3'!AF58</f>
        <v>10334</v>
      </c>
      <c r="V58" s="200">
        <f>'Table 1.1.3'!AG58</f>
        <v>68631</v>
      </c>
      <c r="W58" s="200">
        <f>'Table 1.1.3'!AH58</f>
        <v>153520</v>
      </c>
      <c r="X58" s="200">
        <f>'Table 1.1.3'!AI58</f>
        <v>49831</v>
      </c>
      <c r="Y58" s="200">
        <f>'Table 1.1.3'!AJ58</f>
        <v>4336</v>
      </c>
      <c r="Z58" s="200">
        <f>'Table 1.1.3'!AK58</f>
        <v>39018</v>
      </c>
      <c r="AA58" s="200">
        <f>'Table 1.1.3'!AL58</f>
        <v>6476</v>
      </c>
      <c r="AB58" s="200">
        <f>'Table 1.1.3'!AQ58</f>
        <v>45316</v>
      </c>
      <c r="AC58" s="200">
        <f>'Table 1.1.3'!AR58</f>
        <v>36914</v>
      </c>
      <c r="AD58" s="200">
        <f>'Table 1.1.3'!AS58</f>
        <v>2596</v>
      </c>
      <c r="AE58" s="200">
        <f>'Table 1.1.3'!AT58</f>
        <v>5806</v>
      </c>
      <c r="AF58" s="200">
        <f>'Table 1.1.3'!AU58</f>
        <v>58373</v>
      </c>
      <c r="AG58" s="200">
        <f>'Table 1.1.3'!AV58</f>
        <v>41626</v>
      </c>
      <c r="AH58" s="200">
        <f>'Table 1.1.3'!AW58</f>
        <v>8942</v>
      </c>
      <c r="AI58" s="200">
        <f>'Table 1.1.3'!AX58</f>
        <v>7805</v>
      </c>
    </row>
    <row r="59" spans="1:35" ht="12.75" customHeight="1">
      <c r="A59" s="199">
        <v>2012</v>
      </c>
      <c r="B59" s="200">
        <f>'Table 1.1'!B89</f>
        <v>2815272.707347353</v>
      </c>
      <c r="C59" s="229">
        <f t="shared" si="0"/>
        <v>1026242.5571392355</v>
      </c>
      <c r="D59" s="229">
        <f t="shared" si="1"/>
        <v>358808.85422724346</v>
      </c>
      <c r="E59" s="229">
        <f t="shared" si="2"/>
        <v>1430221.295980874</v>
      </c>
      <c r="F59" s="229">
        <f>M83</f>
        <v>315685.50851540605</v>
      </c>
      <c r="G59" s="229">
        <f>N83</f>
        <v>2054282.9183951544</v>
      </c>
      <c r="H59" s="229">
        <f t="shared" ref="H59:J68" si="4">K101</f>
        <v>922546.77944687521</v>
      </c>
      <c r="I59" s="229">
        <f t="shared" si="4"/>
        <v>587723.16126084351</v>
      </c>
      <c r="J59" s="229">
        <f t="shared" si="4"/>
        <v>436876.73983311851</v>
      </c>
      <c r="K59" s="229">
        <f t="shared" ref="K59:K68" si="5">J59*F120</f>
        <v>251102.99652908178</v>
      </c>
      <c r="L59" s="229">
        <f>J59-K59</f>
        <v>185773.74330403673</v>
      </c>
      <c r="M59" s="229">
        <f t="shared" ref="M59:M68" si="6">N101</f>
        <v>107136.23785431746</v>
      </c>
      <c r="N59" s="229">
        <f t="shared" ref="N59:N68" si="7">M59*C$147</f>
        <v>103208.42817241891</v>
      </c>
      <c r="O59" s="229">
        <f>M59-N59</f>
        <v>3927.8096818985505</v>
      </c>
      <c r="P59" s="229">
        <f t="shared" ref="P59:P68" si="8">O83</f>
        <v>206831.20458764725</v>
      </c>
      <c r="Q59" s="229">
        <f t="shared" ref="Q59:R68" si="9">$P59*E$147</f>
        <v>20819.33042780601</v>
      </c>
      <c r="R59" s="229">
        <f t="shared" si="9"/>
        <v>80052.669714497388</v>
      </c>
      <c r="S59" s="229">
        <f>P59-Q59-R59</f>
        <v>105959.20444534386</v>
      </c>
      <c r="T59" s="229">
        <f t="shared" ref="T59:T68" si="10">P83</f>
        <v>83060.170020874357</v>
      </c>
      <c r="U59" s="229">
        <f t="shared" ref="U59:U68" si="11">T59*H$147</f>
        <v>12284.014427054623</v>
      </c>
      <c r="V59" s="229">
        <f>T59-U59</f>
        <v>70776.155593819742</v>
      </c>
      <c r="W59" s="229">
        <f>X59+AB59+AF59</f>
        <v>155412.90582827068</v>
      </c>
      <c r="X59" s="229">
        <f t="shared" ref="X59:X68" si="12">Q83</f>
        <v>48386.798135555182</v>
      </c>
      <c r="Y59" s="229">
        <f t="shared" ref="Y59:Z68" si="13">$X59*J$147</f>
        <v>4113.2172247784247</v>
      </c>
      <c r="Z59" s="229">
        <f t="shared" si="13"/>
        <v>37890.706751261292</v>
      </c>
      <c r="AA59" s="229">
        <f>X59-Y59-Z59</f>
        <v>6382.8741595154643</v>
      </c>
      <c r="AB59" s="229">
        <f t="shared" ref="AB59:AB68" si="14">R83</f>
        <v>45923.696562019926</v>
      </c>
      <c r="AC59" s="229">
        <f t="shared" ref="AC59:AD68" si="15">$AB59*M$147</f>
        <v>36997.666877178854</v>
      </c>
      <c r="AD59" s="229">
        <f t="shared" si="15"/>
        <v>3031.403774617811</v>
      </c>
      <c r="AE59" s="229">
        <f>AB59-AC59-AD59</f>
        <v>5894.6259102232616</v>
      </c>
      <c r="AF59" s="229">
        <f t="shared" ref="AF59:AF68" si="16">S83</f>
        <v>61102.411130695567</v>
      </c>
      <c r="AG59" s="229">
        <f t="shared" ref="AG59:AH68" si="17">$AF59*P$147</f>
        <v>44918.919471291701</v>
      </c>
      <c r="AH59" s="229">
        <f t="shared" si="17"/>
        <v>10182.515796151636</v>
      </c>
      <c r="AI59" s="229">
        <f>AF59-AG59-AH59</f>
        <v>6000.9758632522298</v>
      </c>
    </row>
    <row r="60" spans="1:35" ht="12.75" customHeight="1">
      <c r="A60" s="199">
        <v>2013</v>
      </c>
      <c r="B60" s="200">
        <f>'Table 1.1'!B90</f>
        <v>2921970.7210300323</v>
      </c>
      <c r="C60" s="229">
        <f t="shared" si="0"/>
        <v>1059927.8113361553</v>
      </c>
      <c r="D60" s="229">
        <f t="shared" si="1"/>
        <v>375395.27509601502</v>
      </c>
      <c r="E60" s="229">
        <f t="shared" si="2"/>
        <v>1486647.6345978619</v>
      </c>
      <c r="F60" s="229">
        <f t="shared" ref="F60:G68" si="18">M84</f>
        <v>326609.66160521237</v>
      </c>
      <c r="G60" s="229">
        <f t="shared" si="18"/>
        <v>2137705.8677778337</v>
      </c>
      <c r="H60" s="229">
        <f t="shared" si="4"/>
        <v>961461.6068929485</v>
      </c>
      <c r="I60" s="229">
        <f t="shared" si="4"/>
        <v>595897.09585611592</v>
      </c>
      <c r="J60" s="229">
        <f t="shared" si="4"/>
        <v>467885.02915107936</v>
      </c>
      <c r="K60" s="229">
        <f t="shared" si="5"/>
        <v>270033.53513713792</v>
      </c>
      <c r="L60" s="229">
        <f t="shared" ref="L60:L68" si="19">J60-K60</f>
        <v>197851.49401394144</v>
      </c>
      <c r="M60" s="229">
        <f t="shared" si="6"/>
        <v>112462.13587769037</v>
      </c>
      <c r="N60" s="229">
        <f t="shared" si="7"/>
        <v>108339.06907047205</v>
      </c>
      <c r="O60" s="229">
        <f t="shared" ref="O60:O68" si="20">M60-N60</f>
        <v>4123.066807218318</v>
      </c>
      <c r="P60" s="229">
        <f t="shared" si="8"/>
        <v>213653.0489161819</v>
      </c>
      <c r="Q60" s="229">
        <f t="shared" si="9"/>
        <v>21506.007428435434</v>
      </c>
      <c r="R60" s="229">
        <f t="shared" si="9"/>
        <v>82693.020100526701</v>
      </c>
      <c r="S60" s="229">
        <f t="shared" ref="S60:S68" si="21">P60-Q60-R60</f>
        <v>109454.02138721976</v>
      </c>
      <c r="T60" s="229">
        <f t="shared" si="10"/>
        <v>84511.961683316884</v>
      </c>
      <c r="U60" s="229">
        <f t="shared" si="11"/>
        <v>12498.724193745922</v>
      </c>
      <c r="V60" s="229">
        <f t="shared" ref="V60:V68" si="22">T60-U60</f>
        <v>72013.237489570965</v>
      </c>
      <c r="W60" s="229">
        <f t="shared" ref="W60:W68" si="23">X60+AB60+AF60</f>
        <v>159490.18104748678</v>
      </c>
      <c r="X60" s="229">
        <f t="shared" si="12"/>
        <v>48370.268142650457</v>
      </c>
      <c r="Y60" s="229">
        <f t="shared" si="13"/>
        <v>4111.8120594407492</v>
      </c>
      <c r="Z60" s="229">
        <f t="shared" si="13"/>
        <v>37877.762453686599</v>
      </c>
      <c r="AA60" s="229">
        <f t="shared" ref="AA60:AA68" si="24">X60-Y60-Z60</f>
        <v>6380.6936295231062</v>
      </c>
      <c r="AB60" s="229">
        <f t="shared" si="14"/>
        <v>47121.28179451896</v>
      </c>
      <c r="AC60" s="229">
        <f t="shared" si="15"/>
        <v>37962.481620024962</v>
      </c>
      <c r="AD60" s="229">
        <f t="shared" si="15"/>
        <v>3110.4558689831092</v>
      </c>
      <c r="AE60" s="229">
        <f t="shared" ref="AE60:AE68" si="25">AB60-AC60-AD60</f>
        <v>6048.3443055108883</v>
      </c>
      <c r="AF60" s="229">
        <f t="shared" si="16"/>
        <v>63998.631110317379</v>
      </c>
      <c r="AG60" s="229">
        <f t="shared" si="17"/>
        <v>47048.051033015348</v>
      </c>
      <c r="AH60" s="229">
        <f t="shared" si="17"/>
        <v>10665.161327578364</v>
      </c>
      <c r="AI60" s="229">
        <f t="shared" ref="AI60:AI68" si="26">AF60-AG60-AH60</f>
        <v>6285.4187497236671</v>
      </c>
    </row>
    <row r="61" spans="1:35" ht="12.75" customHeight="1">
      <c r="A61" s="199">
        <v>2014</v>
      </c>
      <c r="B61" s="200">
        <f>'Table 1.1'!B91</f>
        <v>3137119.6421868363</v>
      </c>
      <c r="C61" s="229">
        <f t="shared" si="0"/>
        <v>1165127.1446071255</v>
      </c>
      <c r="D61" s="229">
        <f t="shared" si="1"/>
        <v>406574.9071598032</v>
      </c>
      <c r="E61" s="229">
        <f t="shared" si="2"/>
        <v>1565417.5904199076</v>
      </c>
      <c r="F61" s="229">
        <f t="shared" si="18"/>
        <v>321422.92055095593</v>
      </c>
      <c r="G61" s="229">
        <f t="shared" si="18"/>
        <v>2341549.4363473346</v>
      </c>
      <c r="H61" s="229">
        <f t="shared" si="4"/>
        <v>1037492.0458286607</v>
      </c>
      <c r="I61" s="229">
        <f t="shared" si="4"/>
        <v>632716.76603863854</v>
      </c>
      <c r="J61" s="229">
        <f t="shared" si="4"/>
        <v>552278.15911046776</v>
      </c>
      <c r="K61" s="229">
        <f t="shared" si="5"/>
        <v>328731.72702465486</v>
      </c>
      <c r="L61" s="229">
        <f t="shared" si="19"/>
        <v>223546.43208581291</v>
      </c>
      <c r="M61" s="229">
        <f t="shared" si="6"/>
        <v>119062.46536956725</v>
      </c>
      <c r="N61" s="229">
        <f t="shared" si="7"/>
        <v>114697.41845738047</v>
      </c>
      <c r="O61" s="229">
        <f t="shared" si="20"/>
        <v>4365.0469121867791</v>
      </c>
      <c r="P61" s="229">
        <f t="shared" si="8"/>
        <v>220639.8112780751</v>
      </c>
      <c r="Q61" s="229">
        <f t="shared" si="9"/>
        <v>22209.284840191613</v>
      </c>
      <c r="R61" s="229">
        <f t="shared" si="9"/>
        <v>85397.200936515132</v>
      </c>
      <c r="S61" s="229">
        <f t="shared" si="21"/>
        <v>113033.32550136837</v>
      </c>
      <c r="T61" s="229">
        <f t="shared" si="10"/>
        <v>86460.823818753459</v>
      </c>
      <c r="U61" s="229">
        <f t="shared" si="11"/>
        <v>12786.947184163915</v>
      </c>
      <c r="V61" s="229">
        <f t="shared" si="22"/>
        <v>73673.876634589542</v>
      </c>
      <c r="W61" s="229">
        <f t="shared" si="23"/>
        <v>167046.65019171691</v>
      </c>
      <c r="X61" s="229">
        <f t="shared" si="12"/>
        <v>50463.137374888734</v>
      </c>
      <c r="Y61" s="229">
        <f t="shared" si="13"/>
        <v>4289.7206234902833</v>
      </c>
      <c r="Z61" s="229">
        <f t="shared" si="13"/>
        <v>39516.64531849858</v>
      </c>
      <c r="AA61" s="229">
        <f t="shared" si="24"/>
        <v>6656.77143289987</v>
      </c>
      <c r="AB61" s="229">
        <f t="shared" si="14"/>
        <v>49285.019935154683</v>
      </c>
      <c r="AC61" s="229">
        <f t="shared" si="15"/>
        <v>39705.661479873022</v>
      </c>
      <c r="AD61" s="229">
        <f t="shared" si="15"/>
        <v>3253.2833079273919</v>
      </c>
      <c r="AE61" s="229">
        <f t="shared" si="25"/>
        <v>6326.0751473542696</v>
      </c>
      <c r="AF61" s="229">
        <f t="shared" si="16"/>
        <v>67298.492881673475</v>
      </c>
      <c r="AG61" s="229">
        <f t="shared" si="17"/>
        <v>49473.916435558771</v>
      </c>
      <c r="AH61" s="229">
        <f t="shared" si="17"/>
        <v>11215.072435669981</v>
      </c>
      <c r="AI61" s="229">
        <f t="shared" si="26"/>
        <v>6609.5040104447235</v>
      </c>
    </row>
    <row r="62" spans="1:35" ht="12.75" customHeight="1">
      <c r="A62" s="199">
        <v>2015</v>
      </c>
      <c r="B62" s="200">
        <f>'Table 1.1'!B92</f>
        <v>3314967.7050646273</v>
      </c>
      <c r="C62" s="229">
        <f t="shared" si="0"/>
        <v>1236736.081596304</v>
      </c>
      <c r="D62" s="229">
        <f t="shared" si="1"/>
        <v>424132.58575983427</v>
      </c>
      <c r="E62" s="229">
        <f t="shared" si="2"/>
        <v>1654099.0377084892</v>
      </c>
      <c r="F62" s="229">
        <f t="shared" si="18"/>
        <v>333001.05793418561</v>
      </c>
      <c r="G62" s="229">
        <f t="shared" si="18"/>
        <v>2486980.8198662209</v>
      </c>
      <c r="H62" s="229">
        <f t="shared" si="4"/>
        <v>1103483.0338920418</v>
      </c>
      <c r="I62" s="229">
        <f t="shared" si="4"/>
        <v>664559.63623182697</v>
      </c>
      <c r="J62" s="229">
        <f t="shared" si="4"/>
        <v>592535.60233353265</v>
      </c>
      <c r="K62" s="229">
        <f t="shared" si="5"/>
        <v>357173.41233599378</v>
      </c>
      <c r="L62" s="229">
        <f t="shared" si="19"/>
        <v>235362.18999753887</v>
      </c>
      <c r="M62" s="229">
        <f t="shared" si="6"/>
        <v>126402.54740881971</v>
      </c>
      <c r="N62" s="229">
        <f t="shared" si="7"/>
        <v>121768.39971544898</v>
      </c>
      <c r="O62" s="229">
        <f t="shared" si="20"/>
        <v>4634.1476933707308</v>
      </c>
      <c r="P62" s="229">
        <f t="shared" si="8"/>
        <v>231507.05384789902</v>
      </c>
      <c r="Q62" s="229">
        <f t="shared" si="9"/>
        <v>23303.165786982736</v>
      </c>
      <c r="R62" s="229">
        <f t="shared" si="9"/>
        <v>89603.296345976371</v>
      </c>
      <c r="S62" s="229">
        <f t="shared" si="21"/>
        <v>118600.5917149399</v>
      </c>
      <c r="T62" s="229">
        <f t="shared" si="10"/>
        <v>86588.744606410692</v>
      </c>
      <c r="U62" s="229">
        <f t="shared" si="11"/>
        <v>12805.865768133906</v>
      </c>
      <c r="V62" s="229">
        <f t="shared" si="22"/>
        <v>73782.878838276782</v>
      </c>
      <c r="W62" s="229">
        <f t="shared" si="23"/>
        <v>176890.02880991151</v>
      </c>
      <c r="X62" s="229">
        <f t="shared" si="12"/>
        <v>53395.912671184618</v>
      </c>
      <c r="Y62" s="229">
        <f t="shared" si="13"/>
        <v>4539.0270940555411</v>
      </c>
      <c r="Z62" s="229">
        <f t="shared" si="13"/>
        <v>41813.241352978388</v>
      </c>
      <c r="AA62" s="229">
        <f t="shared" si="24"/>
        <v>7043.6442241506884</v>
      </c>
      <c r="AB62" s="229">
        <f t="shared" si="14"/>
        <v>52341.790702214392</v>
      </c>
      <c r="AC62" s="229">
        <f t="shared" si="15"/>
        <v>42168.298310661266</v>
      </c>
      <c r="AD62" s="229">
        <f t="shared" si="15"/>
        <v>3455.0594526001541</v>
      </c>
      <c r="AE62" s="229">
        <f t="shared" si="25"/>
        <v>6718.4329389529712</v>
      </c>
      <c r="AF62" s="229">
        <f t="shared" si="16"/>
        <v>71152.325436512518</v>
      </c>
      <c r="AG62" s="229">
        <f t="shared" si="17"/>
        <v>52307.028762605609</v>
      </c>
      <c r="AH62" s="229">
        <f t="shared" si="17"/>
        <v>11857.300952339079</v>
      </c>
      <c r="AI62" s="229">
        <f t="shared" si="26"/>
        <v>6987.9957215678296</v>
      </c>
    </row>
    <row r="63" spans="1:35" ht="12.75" customHeight="1">
      <c r="A63" s="199">
        <v>2016</v>
      </c>
      <c r="B63" s="200">
        <f>'Table 1.1'!B93</f>
        <v>3522261.1765145445</v>
      </c>
      <c r="C63" s="229">
        <f t="shared" si="0"/>
        <v>1321123.5317076994</v>
      </c>
      <c r="D63" s="229">
        <f t="shared" si="1"/>
        <v>450773.14253033814</v>
      </c>
      <c r="E63" s="229">
        <f t="shared" si="2"/>
        <v>1750364.502276507</v>
      </c>
      <c r="F63" s="229">
        <f t="shared" si="18"/>
        <v>344144.90359675302</v>
      </c>
      <c r="G63" s="229">
        <f t="shared" si="18"/>
        <v>2655649.1647342048</v>
      </c>
      <c r="H63" s="229">
        <f t="shared" si="4"/>
        <v>1176498.4769775472</v>
      </c>
      <c r="I63" s="229">
        <f t="shared" si="4"/>
        <v>705095.11601665244</v>
      </c>
      <c r="J63" s="229">
        <f t="shared" si="4"/>
        <v>641724.96550728055</v>
      </c>
      <c r="K63" s="229">
        <f t="shared" si="5"/>
        <v>389828.77465451788</v>
      </c>
      <c r="L63" s="229">
        <f t="shared" si="19"/>
        <v>251896.19085276267</v>
      </c>
      <c r="M63" s="229">
        <f t="shared" si="6"/>
        <v>132330.6062327245</v>
      </c>
      <c r="N63" s="229">
        <f t="shared" si="7"/>
        <v>127479.1251019499</v>
      </c>
      <c r="O63" s="229">
        <f t="shared" si="20"/>
        <v>4851.4811307745986</v>
      </c>
      <c r="P63" s="229">
        <f t="shared" si="8"/>
        <v>244193.54663565382</v>
      </c>
      <c r="Q63" s="229">
        <f t="shared" si="9"/>
        <v>24580.169834050106</v>
      </c>
      <c r="R63" s="229">
        <f t="shared" si="9"/>
        <v>94513.520695335217</v>
      </c>
      <c r="S63" s="229">
        <f t="shared" si="21"/>
        <v>125099.85610626849</v>
      </c>
      <c r="T63" s="229">
        <f t="shared" si="10"/>
        <v>91002.825738605388</v>
      </c>
      <c r="U63" s="229">
        <f t="shared" si="11"/>
        <v>13458.677293759754</v>
      </c>
      <c r="V63" s="229">
        <f t="shared" si="22"/>
        <v>77544.148444845632</v>
      </c>
      <c r="W63" s="229">
        <f t="shared" si="23"/>
        <v>187270.73580932757</v>
      </c>
      <c r="X63" s="229">
        <f t="shared" si="12"/>
        <v>56808.935644828765</v>
      </c>
      <c r="Y63" s="229">
        <f t="shared" si="13"/>
        <v>4829.1579856352819</v>
      </c>
      <c r="Z63" s="229">
        <f t="shared" si="13"/>
        <v>44485.909469338847</v>
      </c>
      <c r="AA63" s="229">
        <f t="shared" si="24"/>
        <v>7493.8681898546347</v>
      </c>
      <c r="AB63" s="229">
        <f t="shared" si="14"/>
        <v>55101.633698743011</v>
      </c>
      <c r="AC63" s="229">
        <f t="shared" si="15"/>
        <v>44391.720192237903</v>
      </c>
      <c r="AD63" s="229">
        <f t="shared" si="15"/>
        <v>3637.2355208034369</v>
      </c>
      <c r="AE63" s="229">
        <f t="shared" si="25"/>
        <v>7072.6779857016718</v>
      </c>
      <c r="AF63" s="229">
        <f t="shared" si="16"/>
        <v>75360.166465755785</v>
      </c>
      <c r="AG63" s="229">
        <f t="shared" si="17"/>
        <v>55400.387418065002</v>
      </c>
      <c r="AH63" s="229">
        <f t="shared" si="17"/>
        <v>12558.523816627001</v>
      </c>
      <c r="AI63" s="229">
        <f t="shared" si="26"/>
        <v>7401.255231063782</v>
      </c>
    </row>
    <row r="64" spans="1:35" ht="12.75" customHeight="1">
      <c r="A64" s="199">
        <v>2017</v>
      </c>
      <c r="B64" s="200">
        <f>'Table 1.1'!B94</f>
        <v>3731576.138403195</v>
      </c>
      <c r="C64" s="229">
        <f t="shared" si="0"/>
        <v>1402001.7668285591</v>
      </c>
      <c r="D64" s="229">
        <f t="shared" si="1"/>
        <v>483974.44703471707</v>
      </c>
      <c r="E64" s="229">
        <f t="shared" si="2"/>
        <v>1845599.9245399185</v>
      </c>
      <c r="F64" s="229">
        <f t="shared" si="18"/>
        <v>363418.59071608563</v>
      </c>
      <c r="G64" s="229">
        <f t="shared" si="18"/>
        <v>2810189.0104363351</v>
      </c>
      <c r="H64" s="229">
        <f t="shared" si="4"/>
        <v>1238475.7985574093</v>
      </c>
      <c r="I64" s="229">
        <f t="shared" si="4"/>
        <v>752102.50849912886</v>
      </c>
      <c r="J64" s="229">
        <f t="shared" si="4"/>
        <v>686022.07420038793</v>
      </c>
      <c r="K64" s="229">
        <f t="shared" si="5"/>
        <v>415814.74069728632</v>
      </c>
      <c r="L64" s="229">
        <f t="shared" si="19"/>
        <v>270207.3335031016</v>
      </c>
      <c r="M64" s="229">
        <f t="shared" si="6"/>
        <v>133588.62917940874</v>
      </c>
      <c r="N64" s="229">
        <f t="shared" si="7"/>
        <v>128691.02663529167</v>
      </c>
      <c r="O64" s="229">
        <f t="shared" si="20"/>
        <v>4897.6025441170787</v>
      </c>
      <c r="P64" s="229">
        <f t="shared" si="8"/>
        <v>259016.7058343848</v>
      </c>
      <c r="Q64" s="229">
        <f t="shared" si="9"/>
        <v>26072.247637095421</v>
      </c>
      <c r="R64" s="229">
        <f t="shared" si="9"/>
        <v>100250.72785335172</v>
      </c>
      <c r="S64" s="229">
        <f t="shared" si="21"/>
        <v>132693.73034393764</v>
      </c>
      <c r="T64" s="229">
        <f t="shared" si="10"/>
        <v>100081.87007825663</v>
      </c>
      <c r="U64" s="229">
        <f t="shared" si="11"/>
        <v>14801.404037807062</v>
      </c>
      <c r="V64" s="229">
        <f t="shared" si="22"/>
        <v>85280.466040449566</v>
      </c>
      <c r="W64" s="229">
        <f t="shared" si="23"/>
        <v>198869.9613381323</v>
      </c>
      <c r="X64" s="229">
        <f t="shared" si="12"/>
        <v>60482.048336961583</v>
      </c>
      <c r="Y64" s="229">
        <f t="shared" si="13"/>
        <v>5141.3983275464616</v>
      </c>
      <c r="Z64" s="229">
        <f t="shared" si="13"/>
        <v>47362.248496609012</v>
      </c>
      <c r="AA64" s="229">
        <f t="shared" si="24"/>
        <v>7978.4015128061073</v>
      </c>
      <c r="AB64" s="229">
        <f t="shared" si="14"/>
        <v>58669.194980887711</v>
      </c>
      <c r="AC64" s="229">
        <f t="shared" si="15"/>
        <v>47265.866956587684</v>
      </c>
      <c r="AD64" s="229">
        <f t="shared" si="15"/>
        <v>3872.7287312044882</v>
      </c>
      <c r="AE64" s="229">
        <f t="shared" si="25"/>
        <v>7530.5992930955381</v>
      </c>
      <c r="AF64" s="229">
        <f t="shared" si="16"/>
        <v>79718.718020283006</v>
      </c>
      <c r="AG64" s="229">
        <f t="shared" si="17"/>
        <v>58604.539638351576</v>
      </c>
      <c r="AH64" s="229">
        <f t="shared" si="17"/>
        <v>13284.862094135977</v>
      </c>
      <c r="AI64" s="229">
        <f t="shared" si="26"/>
        <v>7829.3162877954528</v>
      </c>
    </row>
    <row r="65" spans="1:39" ht="12.75" customHeight="1">
      <c r="A65" s="199">
        <v>2018</v>
      </c>
      <c r="B65" s="200">
        <f>'Table 1.1'!B95</f>
        <v>3961084.9579269635</v>
      </c>
      <c r="C65" s="229">
        <f t="shared" si="0"/>
        <v>1496293.0992461941</v>
      </c>
      <c r="D65" s="229">
        <f t="shared" si="1"/>
        <v>520738.56176583306</v>
      </c>
      <c r="E65" s="229">
        <f t="shared" si="2"/>
        <v>1944053.2969149363</v>
      </c>
      <c r="F65" s="229">
        <f t="shared" si="18"/>
        <v>385236.64616803714</v>
      </c>
      <c r="G65" s="229">
        <f t="shared" si="18"/>
        <v>2978091.5440943884</v>
      </c>
      <c r="H65" s="229">
        <f t="shared" si="4"/>
        <v>1300528.5106134079</v>
      </c>
      <c r="I65" s="229">
        <f t="shared" si="4"/>
        <v>805015.71612456487</v>
      </c>
      <c r="J65" s="229">
        <f t="shared" si="4"/>
        <v>733002.02709750133</v>
      </c>
      <c r="K65" s="229">
        <f t="shared" si="5"/>
        <v>444077.43455952778</v>
      </c>
      <c r="L65" s="229">
        <f t="shared" si="19"/>
        <v>288924.59253797354</v>
      </c>
      <c r="M65" s="229">
        <f t="shared" si="6"/>
        <v>139545.29025891441</v>
      </c>
      <c r="N65" s="229">
        <f t="shared" si="7"/>
        <v>134429.30566658985</v>
      </c>
      <c r="O65" s="229">
        <f t="shared" si="20"/>
        <v>5115.9845923245593</v>
      </c>
      <c r="P65" s="229">
        <f t="shared" si="8"/>
        <v>274237.12934905651</v>
      </c>
      <c r="Q65" s="229">
        <f t="shared" si="9"/>
        <v>27604.313492607165</v>
      </c>
      <c r="R65" s="229">
        <f t="shared" si="9"/>
        <v>106141.69357568525</v>
      </c>
      <c r="S65" s="229">
        <f t="shared" si="21"/>
        <v>140491.1222807641</v>
      </c>
      <c r="T65" s="229">
        <f t="shared" si="10"/>
        <v>112394.85443708587</v>
      </c>
      <c r="U65" s="229">
        <f t="shared" si="11"/>
        <v>16622.407744709468</v>
      </c>
      <c r="V65" s="229">
        <f t="shared" si="22"/>
        <v>95772.446692376398</v>
      </c>
      <c r="W65" s="229">
        <f t="shared" si="23"/>
        <v>211124.78387839545</v>
      </c>
      <c r="X65" s="229">
        <f t="shared" si="12"/>
        <v>64308.982154824356</v>
      </c>
      <c r="Y65" s="229">
        <f t="shared" si="13"/>
        <v>5466.714544040512</v>
      </c>
      <c r="Z65" s="229">
        <f t="shared" si="13"/>
        <v>50359.041684761127</v>
      </c>
      <c r="AA65" s="229">
        <f t="shared" si="24"/>
        <v>8483.2259260227147</v>
      </c>
      <c r="AB65" s="229">
        <f t="shared" si="14"/>
        <v>62417.222854180014</v>
      </c>
      <c r="AC65" s="229">
        <f t="shared" si="15"/>
        <v>50285.403646435334</v>
      </c>
      <c r="AD65" s="229">
        <f t="shared" si="15"/>
        <v>4120.1344649116381</v>
      </c>
      <c r="AE65" s="229">
        <f t="shared" si="25"/>
        <v>8011.684742833042</v>
      </c>
      <c r="AF65" s="229">
        <f t="shared" si="16"/>
        <v>84398.578869391087</v>
      </c>
      <c r="AG65" s="229">
        <f t="shared" si="17"/>
        <v>62044.899662251402</v>
      </c>
      <c r="AH65" s="229">
        <f t="shared" si="17"/>
        <v>14064.745508522152</v>
      </c>
      <c r="AI65" s="229">
        <f t="shared" si="26"/>
        <v>8288.9336986175331</v>
      </c>
    </row>
    <row r="66" spans="1:39" ht="12.75" customHeight="1">
      <c r="A66" s="199">
        <v>2019</v>
      </c>
      <c r="B66" s="200">
        <f>'Table 1.1'!B96</f>
        <v>4216637.6299747368</v>
      </c>
      <c r="C66" s="229">
        <f t="shared" si="0"/>
        <v>1599729.4566535195</v>
      </c>
      <c r="D66" s="229">
        <f t="shared" si="1"/>
        <v>561552.12196088361</v>
      </c>
      <c r="E66" s="229">
        <f t="shared" si="2"/>
        <v>2055356.0513603338</v>
      </c>
      <c r="F66" s="229">
        <f t="shared" si="18"/>
        <v>405783.50425428763</v>
      </c>
      <c r="G66" s="229">
        <f t="shared" si="18"/>
        <v>3171210.8383440324</v>
      </c>
      <c r="H66" s="229">
        <f t="shared" si="4"/>
        <v>1377117.2597635891</v>
      </c>
      <c r="I66" s="229">
        <f t="shared" si="4"/>
        <v>861566.14419919054</v>
      </c>
      <c r="J66" s="229">
        <f t="shared" si="4"/>
        <v>784521.26838315558</v>
      </c>
      <c r="K66" s="229">
        <f t="shared" si="5"/>
        <v>475028.13371373713</v>
      </c>
      <c r="L66" s="229">
        <f t="shared" si="19"/>
        <v>309493.13466941845</v>
      </c>
      <c r="M66" s="229">
        <f t="shared" si="6"/>
        <v>148006.1659980976</v>
      </c>
      <c r="N66" s="229">
        <f t="shared" si="7"/>
        <v>142579.99028546421</v>
      </c>
      <c r="O66" s="229">
        <f t="shared" si="20"/>
        <v>5426.1757126333832</v>
      </c>
      <c r="P66" s="229">
        <f t="shared" si="8"/>
        <v>288851.25969651702</v>
      </c>
      <c r="Q66" s="229">
        <f t="shared" si="9"/>
        <v>29075.350753282575</v>
      </c>
      <c r="R66" s="229">
        <f t="shared" si="9"/>
        <v>111797.99747916182</v>
      </c>
      <c r="S66" s="229">
        <f t="shared" si="21"/>
        <v>147977.91146407265</v>
      </c>
      <c r="T66" s="229">
        <f t="shared" si="10"/>
        <v>127462.17467709411</v>
      </c>
      <c r="U66" s="229">
        <f t="shared" si="11"/>
        <v>18850.758338728214</v>
      </c>
      <c r="V66" s="229">
        <f t="shared" si="22"/>
        <v>108611.4163383659</v>
      </c>
      <c r="W66" s="229">
        <f t="shared" si="23"/>
        <v>223329.85300280538</v>
      </c>
      <c r="X66" s="229">
        <f t="shared" si="12"/>
        <v>68226.095910816701</v>
      </c>
      <c r="Y66" s="229">
        <f t="shared" si="13"/>
        <v>5799.6966877944096</v>
      </c>
      <c r="Z66" s="229">
        <f t="shared" si="13"/>
        <v>53426.452928295657</v>
      </c>
      <c r="AA66" s="229">
        <f t="shared" si="24"/>
        <v>8999.9462947266366</v>
      </c>
      <c r="AB66" s="229">
        <f t="shared" si="14"/>
        <v>66028.355469079732</v>
      </c>
      <c r="AC66" s="229">
        <f t="shared" si="15"/>
        <v>53194.652934652891</v>
      </c>
      <c r="AD66" s="229">
        <f t="shared" si="15"/>
        <v>4358.5038005479546</v>
      </c>
      <c r="AE66" s="229">
        <f t="shared" si="25"/>
        <v>8475.1987338788858</v>
      </c>
      <c r="AF66" s="229">
        <f t="shared" si="16"/>
        <v>89075.401622908961</v>
      </c>
      <c r="AG66" s="229">
        <f t="shared" si="17"/>
        <v>65483.026255937308</v>
      </c>
      <c r="AH66" s="229">
        <f t="shared" si="17"/>
        <v>14844.122634273146</v>
      </c>
      <c r="AI66" s="229">
        <f t="shared" si="26"/>
        <v>8748.2527326985073</v>
      </c>
    </row>
    <row r="67" spans="1:39" ht="12.75" customHeight="1">
      <c r="A67" s="199">
        <v>2020</v>
      </c>
      <c r="B67" s="200">
        <f>'Table 1.1'!B97</f>
        <v>4497214.8904036339</v>
      </c>
      <c r="C67" s="229">
        <f t="shared" si="0"/>
        <v>1712726.2866720362</v>
      </c>
      <c r="D67" s="229">
        <f t="shared" si="1"/>
        <v>611523.4752443399</v>
      </c>
      <c r="E67" s="229">
        <f t="shared" si="2"/>
        <v>2172965.1284872578</v>
      </c>
      <c r="F67" s="229">
        <f t="shared" si="18"/>
        <v>427626.05672097282</v>
      </c>
      <c r="G67" s="229">
        <f t="shared" si="18"/>
        <v>3382781.2578110448</v>
      </c>
      <c r="H67" s="229">
        <f t="shared" si="4"/>
        <v>1458602.2034662561</v>
      </c>
      <c r="I67" s="229">
        <f t="shared" si="4"/>
        <v>925394.46842704609</v>
      </c>
      <c r="J67" s="229">
        <f t="shared" si="4"/>
        <v>841697.90449262923</v>
      </c>
      <c r="K67" s="229">
        <f t="shared" si="5"/>
        <v>506800.94946199178</v>
      </c>
      <c r="L67" s="229">
        <f t="shared" si="19"/>
        <v>334896.95503063744</v>
      </c>
      <c r="M67" s="229">
        <f t="shared" si="6"/>
        <v>157086.68142511341</v>
      </c>
      <c r="N67" s="229">
        <f t="shared" si="7"/>
        <v>151327.5974722321</v>
      </c>
      <c r="O67" s="229">
        <f t="shared" si="20"/>
        <v>5759.0839528813085</v>
      </c>
      <c r="P67" s="229">
        <f t="shared" si="8"/>
        <v>303775.16691078531</v>
      </c>
      <c r="Q67" s="229">
        <f t="shared" si="9"/>
        <v>30577.569706110382</v>
      </c>
      <c r="R67" s="229">
        <f t="shared" si="9"/>
        <v>117574.19849996743</v>
      </c>
      <c r="S67" s="229">
        <f t="shared" si="21"/>
        <v>155623.39870470748</v>
      </c>
      <c r="T67" s="229">
        <f t="shared" si="10"/>
        <v>147424.99210228486</v>
      </c>
      <c r="U67" s="229">
        <f t="shared" si="11"/>
        <v>21803.118503583064</v>
      </c>
      <c r="V67" s="229">
        <f t="shared" si="22"/>
        <v>125621.87359870179</v>
      </c>
      <c r="W67" s="229">
        <f t="shared" si="23"/>
        <v>235607.41685854626</v>
      </c>
      <c r="X67" s="229">
        <f t="shared" si="12"/>
        <v>72281.193204163501</v>
      </c>
      <c r="Y67" s="229">
        <f t="shared" si="13"/>
        <v>6144.4084000349867</v>
      </c>
      <c r="Z67" s="229">
        <f t="shared" si="13"/>
        <v>56601.916242887921</v>
      </c>
      <c r="AA67" s="229">
        <f t="shared" si="24"/>
        <v>9534.868561240597</v>
      </c>
      <c r="AB67" s="229">
        <f t="shared" si="14"/>
        <v>69528.12306712805</v>
      </c>
      <c r="AC67" s="229">
        <f t="shared" si="15"/>
        <v>56014.182838245673</v>
      </c>
      <c r="AD67" s="229">
        <f t="shared" si="15"/>
        <v>4589.521978552878</v>
      </c>
      <c r="AE67" s="229">
        <f t="shared" si="25"/>
        <v>8924.4182503294978</v>
      </c>
      <c r="AF67" s="229">
        <f t="shared" si="16"/>
        <v>93798.100587254725</v>
      </c>
      <c r="AG67" s="229">
        <f t="shared" si="17"/>
        <v>68954.878357040885</v>
      </c>
      <c r="AH67" s="229">
        <f t="shared" si="17"/>
        <v>15631.144879631998</v>
      </c>
      <c r="AI67" s="229">
        <f t="shared" si="26"/>
        <v>9212.0773505818415</v>
      </c>
    </row>
    <row r="68" spans="1:39" ht="12.75" customHeight="1">
      <c r="A68" s="199">
        <v>2021</v>
      </c>
      <c r="B68" s="200">
        <f>'Table 1.1'!B98</f>
        <v>4791617.8625838077</v>
      </c>
      <c r="C68" s="229">
        <f t="shared" si="0"/>
        <v>1836064.8368237161</v>
      </c>
      <c r="D68" s="229">
        <f t="shared" si="1"/>
        <v>665221.84387413505</v>
      </c>
      <c r="E68" s="229">
        <f t="shared" si="2"/>
        <v>2290331.1818859568</v>
      </c>
      <c r="F68" s="229">
        <f t="shared" si="18"/>
        <v>449371.28459585615</v>
      </c>
      <c r="G68" s="229">
        <f t="shared" si="18"/>
        <v>3603449.2125249398</v>
      </c>
      <c r="H68" s="229">
        <f t="shared" si="4"/>
        <v>1539625.0991826484</v>
      </c>
      <c r="I68" s="229">
        <f t="shared" si="4"/>
        <v>993399.64621570322</v>
      </c>
      <c r="J68" s="229">
        <f t="shared" si="4"/>
        <v>903863.66477359901</v>
      </c>
      <c r="K68" s="229">
        <f t="shared" si="5"/>
        <v>543568.82783428649</v>
      </c>
      <c r="L68" s="229">
        <f t="shared" si="19"/>
        <v>360294.83693931252</v>
      </c>
      <c r="M68" s="229">
        <f t="shared" si="6"/>
        <v>166560.8023529895</v>
      </c>
      <c r="N68" s="229">
        <f t="shared" si="7"/>
        <v>160454.37986504976</v>
      </c>
      <c r="O68" s="229">
        <f t="shared" si="20"/>
        <v>6106.422487939737</v>
      </c>
      <c r="P68" s="229">
        <f t="shared" si="8"/>
        <v>319153.13497129467</v>
      </c>
      <c r="Q68" s="229">
        <f t="shared" si="9"/>
        <v>32125.493768140976</v>
      </c>
      <c r="R68" s="229">
        <f t="shared" si="9"/>
        <v>123526.14081197178</v>
      </c>
      <c r="S68" s="229">
        <f t="shared" si="21"/>
        <v>163501.50039118191</v>
      </c>
      <c r="T68" s="229">
        <f t="shared" si="10"/>
        <v>171503.66358328567</v>
      </c>
      <c r="U68" s="229">
        <f t="shared" si="11"/>
        <v>25364.184508896895</v>
      </c>
      <c r="V68" s="229">
        <f t="shared" si="22"/>
        <v>146139.47907438877</v>
      </c>
      <c r="W68" s="229">
        <f t="shared" si="23"/>
        <v>248140.56690843118</v>
      </c>
      <c r="X68" s="229">
        <f t="shared" si="12"/>
        <v>76512.966526611053</v>
      </c>
      <c r="Y68" s="229">
        <f t="shared" si="13"/>
        <v>6504.1388139484225</v>
      </c>
      <c r="Z68" s="229">
        <f t="shared" si="13"/>
        <v>59915.730923277937</v>
      </c>
      <c r="AA68" s="229">
        <f t="shared" si="24"/>
        <v>10093.096789384697</v>
      </c>
      <c r="AB68" s="229">
        <f t="shared" si="14"/>
        <v>73179.759981007228</v>
      </c>
      <c r="AC68" s="229">
        <f t="shared" si="15"/>
        <v>58956.063745277097</v>
      </c>
      <c r="AD68" s="229">
        <f t="shared" si="15"/>
        <v>4830.564985822939</v>
      </c>
      <c r="AE68" s="229">
        <f t="shared" si="25"/>
        <v>9393.1312499071919</v>
      </c>
      <c r="AF68" s="229">
        <f t="shared" si="16"/>
        <v>98447.840400812915</v>
      </c>
      <c r="AG68" s="229">
        <f t="shared" si="17"/>
        <v>72373.095157044634</v>
      </c>
      <c r="AH68" s="229">
        <f t="shared" si="17"/>
        <v>16406.008722537968</v>
      </c>
      <c r="AI68" s="229">
        <f t="shared" si="26"/>
        <v>9668.7365212303121</v>
      </c>
    </row>
    <row r="69" spans="1:39" ht="18" customHeight="1">
      <c r="A69" s="201" t="s">
        <v>23</v>
      </c>
      <c r="B69" s="230" t="s">
        <v>24</v>
      </c>
      <c r="C69" s="217" t="s">
        <v>25</v>
      </c>
      <c r="D69" s="218"/>
      <c r="E69" s="219"/>
      <c r="F69" s="217" t="s">
        <v>26</v>
      </c>
      <c r="G69" s="219"/>
      <c r="H69" s="217" t="s">
        <v>27</v>
      </c>
      <c r="I69" s="218"/>
      <c r="J69" s="219"/>
      <c r="K69" s="217" t="s">
        <v>28</v>
      </c>
      <c r="L69" s="219"/>
      <c r="M69" s="230" t="str">
        <f>H69</f>
        <v>[D]</v>
      </c>
      <c r="N69" s="217" t="s">
        <v>29</v>
      </c>
      <c r="O69" s="219"/>
      <c r="P69" s="230" t="str">
        <f>F69</f>
        <v>[C]</v>
      </c>
      <c r="Q69" s="217" t="str">
        <f>N69</f>
        <v>[F]</v>
      </c>
      <c r="R69" s="218"/>
      <c r="S69" s="219"/>
      <c r="T69" s="230" t="str">
        <f>F69</f>
        <v>[C]</v>
      </c>
      <c r="U69" s="217" t="str">
        <f>Q69</f>
        <v>[F]</v>
      </c>
      <c r="V69" s="219"/>
      <c r="W69" s="230" t="s">
        <v>30</v>
      </c>
      <c r="X69" s="230" t="str">
        <f>$T69</f>
        <v>[C]</v>
      </c>
      <c r="Y69" s="217" t="str">
        <f>Q69</f>
        <v>[F]</v>
      </c>
      <c r="Z69" s="218"/>
      <c r="AA69" s="219"/>
      <c r="AB69" s="230" t="str">
        <f>$T69</f>
        <v>[C]</v>
      </c>
      <c r="AC69" s="217" t="str">
        <f>U69</f>
        <v>[F]</v>
      </c>
      <c r="AD69" s="218"/>
      <c r="AE69" s="219"/>
      <c r="AF69" s="230" t="str">
        <f>$T69</f>
        <v>[C]</v>
      </c>
      <c r="AG69" s="217" t="str">
        <f>Y69</f>
        <v>[F]</v>
      </c>
      <c r="AH69" s="218"/>
      <c r="AI69" s="219"/>
    </row>
    <row r="70" spans="1:39" ht="15.75" customHeight="1">
      <c r="A70" s="204" t="s">
        <v>36</v>
      </c>
      <c r="B70" s="231">
        <v>41511</v>
      </c>
      <c r="C70" s="231"/>
      <c r="D70" s="231"/>
      <c r="E70" s="231"/>
      <c r="F70" s="231"/>
      <c r="G70" s="231"/>
      <c r="H70" s="231"/>
      <c r="I70" s="231"/>
      <c r="J70" s="231"/>
      <c r="K70" s="231"/>
      <c r="L70" s="231"/>
      <c r="M70" s="231"/>
      <c r="N70" s="231"/>
      <c r="O70" s="231"/>
      <c r="P70" s="232"/>
    </row>
    <row r="71" spans="1:39" s="206" customFormat="1" ht="24.75" customHeight="1">
      <c r="A71" s="175" t="s">
        <v>37</v>
      </c>
      <c r="B71" s="220" t="s">
        <v>380</v>
      </c>
      <c r="C71" s="220"/>
      <c r="D71" s="220"/>
      <c r="E71" s="220"/>
      <c r="F71" s="220"/>
      <c r="G71" s="220"/>
      <c r="H71" s="220"/>
      <c r="I71" s="220"/>
      <c r="J71" s="220"/>
      <c r="K71" s="220"/>
      <c r="L71" s="220"/>
      <c r="M71" s="220"/>
      <c r="N71" s="220"/>
      <c r="O71" s="220"/>
      <c r="P71" s="220"/>
      <c r="Q71" s="220"/>
      <c r="R71" s="220"/>
      <c r="S71" s="220"/>
      <c r="T71" s="204"/>
    </row>
    <row r="72" spans="1:39" s="38" customFormat="1" ht="19.5" customHeight="1">
      <c r="A72" s="43" t="s">
        <v>307</v>
      </c>
      <c r="B72" s="43"/>
      <c r="C72" s="43"/>
      <c r="D72" s="43"/>
      <c r="E72" s="43"/>
      <c r="F72" s="43"/>
      <c r="G72" s="43"/>
      <c r="H72" s="43"/>
      <c r="I72" s="43"/>
      <c r="J72" s="43"/>
      <c r="K72" s="43"/>
      <c r="L72" s="43"/>
      <c r="M72" s="43"/>
      <c r="N72" s="43"/>
      <c r="O72" s="43"/>
      <c r="P72" s="164"/>
      <c r="Q72" s="164"/>
      <c r="R72" s="37"/>
      <c r="S72" s="37"/>
    </row>
    <row r="73" spans="1:39" s="38" customFormat="1" ht="18" customHeight="1">
      <c r="A73" s="165" t="str">
        <f>B69</f>
        <v>[A]</v>
      </c>
      <c r="B73" s="233" t="s">
        <v>381</v>
      </c>
      <c r="C73" s="233"/>
      <c r="D73" s="233"/>
      <c r="E73" s="233"/>
      <c r="F73" s="233"/>
      <c r="G73" s="233"/>
      <c r="H73" s="233"/>
      <c r="I73" s="233"/>
      <c r="J73" s="233"/>
      <c r="K73" s="233"/>
      <c r="L73" s="233"/>
      <c r="M73" s="233"/>
      <c r="N73" s="233"/>
      <c r="O73" s="233"/>
      <c r="P73" s="233"/>
      <c r="Q73" s="233"/>
      <c r="R73" s="233"/>
      <c r="S73" s="40"/>
      <c r="T73" s="40"/>
      <c r="U73" s="40"/>
      <c r="V73" s="40"/>
      <c r="W73" s="40"/>
      <c r="X73" s="40"/>
      <c r="Y73" s="40"/>
      <c r="Z73" s="40"/>
      <c r="AA73" s="40"/>
      <c r="AB73" s="40"/>
      <c r="AC73" s="40"/>
      <c r="AJ73" s="113"/>
      <c r="AM73" s="113"/>
    </row>
    <row r="74" spans="1:39" s="38" customFormat="1" ht="18" customHeight="1">
      <c r="A74" s="165" t="str">
        <f>C69</f>
        <v>[B]</v>
      </c>
      <c r="B74" s="40" t="s">
        <v>382</v>
      </c>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c r="AC74" s="40"/>
      <c r="AJ74" s="113"/>
      <c r="AM74" s="113"/>
    </row>
    <row r="75" spans="1:39" s="38" customFormat="1" ht="18" customHeight="1">
      <c r="A75" s="165" t="str">
        <f>F69</f>
        <v>[C]</v>
      </c>
      <c r="B75" s="40" t="s">
        <v>383</v>
      </c>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c r="AC75" s="40"/>
      <c r="AJ75" s="113"/>
      <c r="AM75" s="113"/>
    </row>
    <row r="76" spans="1:39" s="38" customFormat="1" ht="18" customHeight="1">
      <c r="A76" s="165" t="str">
        <f>H69</f>
        <v>[D]</v>
      </c>
      <c r="B76" s="40" t="s">
        <v>384</v>
      </c>
      <c r="C76" s="40"/>
      <c r="D76" s="40"/>
      <c r="E76" s="40"/>
      <c r="F76" s="40"/>
      <c r="G76" s="40"/>
      <c r="H76" s="40"/>
      <c r="I76" s="40"/>
      <c r="J76" s="40"/>
      <c r="K76" s="40"/>
      <c r="L76" s="40"/>
      <c r="M76" s="40"/>
      <c r="N76" s="40"/>
      <c r="O76" s="40"/>
      <c r="P76" s="40"/>
      <c r="Q76" s="40"/>
      <c r="R76" s="40"/>
      <c r="S76" s="40"/>
      <c r="T76" s="40"/>
      <c r="U76" s="40"/>
      <c r="V76" s="40"/>
      <c r="W76" s="64"/>
      <c r="X76" s="64"/>
      <c r="Y76" s="64"/>
      <c r="Z76" s="64"/>
      <c r="AA76" s="64"/>
      <c r="AB76" s="64"/>
      <c r="AC76" s="64"/>
      <c r="AJ76" s="113"/>
      <c r="AM76" s="113"/>
    </row>
    <row r="77" spans="1:39" s="38" customFormat="1" ht="24.75" customHeight="1">
      <c r="A77" s="165" t="str">
        <f>K69</f>
        <v>[E]</v>
      </c>
      <c r="B77" s="40" t="s">
        <v>385</v>
      </c>
      <c r="C77" s="40"/>
      <c r="D77" s="40"/>
      <c r="E77" s="40"/>
      <c r="F77" s="40"/>
      <c r="G77" s="40"/>
      <c r="H77" s="40"/>
      <c r="I77" s="40"/>
      <c r="J77" s="40"/>
      <c r="K77" s="40"/>
      <c r="L77" s="40"/>
      <c r="M77" s="40"/>
      <c r="N77" s="40"/>
      <c r="O77" s="40"/>
      <c r="P77" s="40"/>
      <c r="Q77" s="40"/>
      <c r="R77" s="40"/>
      <c r="S77" s="40"/>
      <c r="T77" s="40"/>
      <c r="U77" s="40"/>
      <c r="V77" s="40"/>
      <c r="W77" s="64"/>
      <c r="X77" s="64"/>
      <c r="Y77" s="64"/>
      <c r="Z77" s="64"/>
      <c r="AA77" s="64"/>
      <c r="AB77" s="64"/>
      <c r="AC77" s="64"/>
      <c r="AJ77" s="113"/>
      <c r="AM77" s="113"/>
    </row>
    <row r="78" spans="1:39" s="38" customFormat="1" ht="24.75" customHeight="1">
      <c r="A78" s="165" t="str">
        <f>N69</f>
        <v>[F]</v>
      </c>
      <c r="B78" s="40" t="s">
        <v>386</v>
      </c>
      <c r="C78" s="40"/>
      <c r="D78" s="40"/>
      <c r="E78" s="40"/>
      <c r="F78" s="40"/>
      <c r="G78" s="40"/>
      <c r="H78" s="40"/>
      <c r="I78" s="40"/>
      <c r="J78" s="40"/>
      <c r="K78" s="40"/>
      <c r="L78" s="40"/>
      <c r="M78" s="40"/>
      <c r="N78" s="40"/>
      <c r="O78" s="40"/>
      <c r="P78" s="40"/>
      <c r="Q78" s="40"/>
      <c r="R78" s="40"/>
      <c r="S78" s="40"/>
      <c r="T78" s="40"/>
      <c r="U78" s="40"/>
      <c r="V78" s="40"/>
      <c r="W78" s="64"/>
      <c r="X78" s="64"/>
      <c r="Y78" s="64"/>
      <c r="Z78" s="64"/>
      <c r="AA78" s="64"/>
      <c r="AB78" s="64"/>
      <c r="AC78" s="64"/>
      <c r="AJ78" s="113"/>
      <c r="AM78" s="113"/>
    </row>
    <row r="79" spans="1:39" s="38" customFormat="1" ht="18" customHeight="1">
      <c r="A79" s="165" t="str">
        <f>W69</f>
        <v>[G]</v>
      </c>
      <c r="B79" s="40" t="s">
        <v>387</v>
      </c>
      <c r="C79" s="40"/>
      <c r="D79" s="40"/>
      <c r="E79" s="40"/>
      <c r="F79" s="40"/>
      <c r="G79" s="40"/>
      <c r="H79" s="40"/>
      <c r="I79" s="40"/>
      <c r="J79" s="40"/>
      <c r="K79" s="40"/>
      <c r="L79" s="40"/>
      <c r="M79" s="40"/>
      <c r="N79" s="40"/>
      <c r="O79" s="40"/>
      <c r="P79" s="40"/>
      <c r="Q79" s="40"/>
      <c r="R79" s="40"/>
      <c r="S79" s="40"/>
      <c r="T79" s="40"/>
      <c r="U79" s="40"/>
      <c r="V79" s="40"/>
      <c r="W79" s="64"/>
      <c r="X79" s="64"/>
      <c r="Y79" s="64"/>
      <c r="Z79" s="64"/>
      <c r="AA79" s="64"/>
      <c r="AB79" s="64"/>
      <c r="AC79" s="64"/>
      <c r="AJ79" s="113"/>
      <c r="AM79" s="113"/>
    </row>
    <row r="80" spans="1:39" s="38" customFormat="1" ht="19.5" customHeight="1">
      <c r="A80" s="35" t="s">
        <v>53</v>
      </c>
      <c r="B80" s="43" t="s">
        <v>388</v>
      </c>
      <c r="C80" s="43"/>
      <c r="D80" s="43"/>
      <c r="E80" s="43"/>
      <c r="F80" s="43"/>
      <c r="G80" s="67"/>
      <c r="H80" s="67"/>
      <c r="I80" s="67"/>
      <c r="J80" s="67"/>
      <c r="K80" s="67"/>
      <c r="L80" s="67"/>
      <c r="M80" s="67"/>
      <c r="N80" s="45"/>
      <c r="O80" s="45"/>
      <c r="P80" s="45"/>
      <c r="Q80" s="45"/>
      <c r="R80" s="234"/>
      <c r="S80" s="234"/>
      <c r="T80" s="234"/>
      <c r="U80" s="234"/>
      <c r="V80" s="234"/>
      <c r="W80" s="113"/>
      <c r="AJ80" s="113"/>
    </row>
    <row r="81" spans="1:36" s="49" customFormat="1" ht="15" customHeight="1">
      <c r="A81" s="124"/>
      <c r="B81" s="79" t="s">
        <v>94</v>
      </c>
      <c r="C81" s="14" t="s">
        <v>389</v>
      </c>
      <c r="D81" s="28" t="s">
        <v>390</v>
      </c>
      <c r="E81" s="30"/>
      <c r="F81" s="30"/>
      <c r="G81" s="30"/>
      <c r="H81" s="30"/>
      <c r="I81" s="30"/>
      <c r="J81" s="30"/>
      <c r="K81" s="30"/>
      <c r="L81" s="15" t="s">
        <v>391</v>
      </c>
      <c r="M81" s="28" t="s">
        <v>392</v>
      </c>
      <c r="N81" s="30"/>
      <c r="O81" s="30"/>
      <c r="P81" s="30"/>
      <c r="Q81" s="30"/>
      <c r="R81" s="30"/>
      <c r="S81" s="30"/>
    </row>
    <row r="82" spans="1:36" s="49" customFormat="1" ht="45">
      <c r="A82" s="124"/>
      <c r="B82" s="50"/>
      <c r="C82" s="18"/>
      <c r="D82" s="81" t="s">
        <v>393</v>
      </c>
      <c r="E82" s="81" t="s">
        <v>394</v>
      </c>
      <c r="F82" s="81" t="s">
        <v>395</v>
      </c>
      <c r="G82" s="156" t="s">
        <v>396</v>
      </c>
      <c r="H82" s="156" t="s">
        <v>397</v>
      </c>
      <c r="I82" s="156" t="s">
        <v>360</v>
      </c>
      <c r="J82" s="156" t="s">
        <v>398</v>
      </c>
      <c r="K82" s="156" t="s">
        <v>299</v>
      </c>
      <c r="L82" s="9"/>
      <c r="M82" s="81" t="s">
        <v>394</v>
      </c>
      <c r="N82" s="81" t="s">
        <v>395</v>
      </c>
      <c r="O82" s="156" t="s">
        <v>396</v>
      </c>
      <c r="P82" s="156" t="s">
        <v>397</v>
      </c>
      <c r="Q82" s="156" t="s">
        <v>360</v>
      </c>
      <c r="R82" s="156" t="s">
        <v>398</v>
      </c>
      <c r="S82" s="81" t="s">
        <v>299</v>
      </c>
    </row>
    <row r="83" spans="1:36" s="57" customFormat="1" ht="12.75" customHeight="1">
      <c r="A83" s="124"/>
      <c r="B83" s="58">
        <v>2012</v>
      </c>
      <c r="C83" s="200">
        <f t="shared" ref="C83:C92" si="27">B59</f>
        <v>2815272.707347353</v>
      </c>
      <c r="D83" s="23">
        <f t="shared" ref="D83:D92" si="28">SUM(E83:K83)</f>
        <v>2813601.7741100229</v>
      </c>
      <c r="E83" s="200">
        <f>F58*'Table 1.1.7'!C49/'Table 1.1.7'!C48</f>
        <v>315498.14144174918</v>
      </c>
      <c r="F83" s="200">
        <f>G58*'Table 1.1.7'!D49/'Table 1.1.7'!D48</f>
        <v>2053063.6512178516</v>
      </c>
      <c r="G83" s="200">
        <f>P58*'Table 1.1.7'!I49/'Table 1.1.7'!I48</f>
        <v>206708.44520687376</v>
      </c>
      <c r="H83" s="200">
        <f>T58*'Table 1.1.7'!H49/'Table 1.1.7'!H48</f>
        <v>83010.871777608641</v>
      </c>
      <c r="I83" s="200">
        <f>X58*'Table 1.1.7'!L49/'Table 1.1.7'!L48</f>
        <v>48358.079386909034</v>
      </c>
      <c r="J83" s="200">
        <f>AB58*'Table 1.1.7'!M49/'Table 1.1.7'!M48</f>
        <v>45896.439724426091</v>
      </c>
      <c r="K83" s="200">
        <f>AF58*'Table 1.1.7'!N49/'Table 1.1.7'!N48</f>
        <v>61066.145354604741</v>
      </c>
      <c r="L83" s="235">
        <f t="shared" ref="L83:L92" si="29">C83/D83</f>
        <v>1.0005938769490073</v>
      </c>
      <c r="M83" s="200">
        <f t="shared" ref="M83:S92" si="30">E83*$L83</f>
        <v>315685.50851540605</v>
      </c>
      <c r="N83" s="200">
        <f t="shared" si="30"/>
        <v>2054282.9183951544</v>
      </c>
      <c r="O83" s="200">
        <f t="shared" si="30"/>
        <v>206831.20458764725</v>
      </c>
      <c r="P83" s="200">
        <f t="shared" si="30"/>
        <v>83060.170020874357</v>
      </c>
      <c r="Q83" s="200">
        <f t="shared" si="30"/>
        <v>48386.798135555182</v>
      </c>
      <c r="R83" s="200">
        <f t="shared" si="30"/>
        <v>45923.696562019926</v>
      </c>
      <c r="S83" s="200">
        <f t="shared" si="30"/>
        <v>61102.411130695567</v>
      </c>
    </row>
    <row r="84" spans="1:36" s="57" customFormat="1" ht="12.75" customHeight="1">
      <c r="A84" s="124"/>
      <c r="B84" s="58">
        <v>2013</v>
      </c>
      <c r="C84" s="200">
        <f t="shared" si="27"/>
        <v>2921970.7210300323</v>
      </c>
      <c r="D84" s="23">
        <f t="shared" si="28"/>
        <v>2917934.537011215</v>
      </c>
      <c r="E84" s="200">
        <f>E83*'Table 1.1.7'!C50/'Table 1.1.7'!C49</f>
        <v>326158.508317784</v>
      </c>
      <c r="F84" s="200">
        <f>F83*'Table 1.1.7'!D50/'Table 1.1.7'!D49</f>
        <v>2134753.0064783152</v>
      </c>
      <c r="G84" s="200">
        <f>G83*'Table 1.1.7'!I50/'Table 1.1.7'!I49</f>
        <v>213357.9251439276</v>
      </c>
      <c r="H84" s="200">
        <f>H83*'Table 1.1.7'!H32/'Table 1.1.7'!H31</f>
        <v>84395.223405725643</v>
      </c>
      <c r="I84" s="200">
        <f>I83*'Table 1.1.7'!L50/'Table 1.1.7'!L49</f>
        <v>48303.453200988602</v>
      </c>
      <c r="J84" s="200">
        <f>J83*'Table 1.1.7'!M50/'Table 1.1.7'!M49</f>
        <v>47056.192105852206</v>
      </c>
      <c r="K84" s="200">
        <f>K83*'Table 1.1.7'!N50/'Table 1.1.7'!N49</f>
        <v>63910.228358621578</v>
      </c>
      <c r="L84" s="235">
        <f t="shared" si="29"/>
        <v>1.0013832332314594</v>
      </c>
      <c r="M84" s="200">
        <f t="shared" si="30"/>
        <v>326609.66160521237</v>
      </c>
      <c r="N84" s="200">
        <f t="shared" si="30"/>
        <v>2137705.8677778337</v>
      </c>
      <c r="O84" s="200">
        <f t="shared" si="30"/>
        <v>213653.0489161819</v>
      </c>
      <c r="P84" s="200">
        <f t="shared" si="30"/>
        <v>84511.961683316884</v>
      </c>
      <c r="Q84" s="200">
        <f t="shared" si="30"/>
        <v>48370.268142650457</v>
      </c>
      <c r="R84" s="200">
        <f t="shared" si="30"/>
        <v>47121.28179451896</v>
      </c>
      <c r="S84" s="200">
        <f t="shared" si="30"/>
        <v>63998.631110317379</v>
      </c>
    </row>
    <row r="85" spans="1:36" s="57" customFormat="1" ht="12.75" customHeight="1">
      <c r="A85" s="124"/>
      <c r="B85" s="58">
        <v>2014</v>
      </c>
      <c r="C85" s="200">
        <f t="shared" si="27"/>
        <v>3137119.6421868363</v>
      </c>
      <c r="D85" s="23">
        <f t="shared" si="28"/>
        <v>3134497.7944529043</v>
      </c>
      <c r="E85" s="200">
        <f>E84*'Table 1.1.7'!C51/'Table 1.1.7'!C50</f>
        <v>321154.2913458253</v>
      </c>
      <c r="F85" s="200">
        <f>F84*'Table 1.1.7'!D51/'Table 1.1.7'!D50</f>
        <v>2339592.4864111515</v>
      </c>
      <c r="G85" s="200">
        <f>G84*'Table 1.1.7'!I51/'Table 1.1.7'!I50</f>
        <v>220455.41155629358</v>
      </c>
      <c r="H85" s="200">
        <f>H84*'Table 1.1.7'!H33/'Table 1.1.7'!H32</f>
        <v>86388.564185440569</v>
      </c>
      <c r="I85" s="200">
        <f>I84*'Table 1.1.7'!L51/'Table 1.1.7'!L50</f>
        <v>50420.962807940683</v>
      </c>
      <c r="J85" s="200">
        <f>J84*'Table 1.1.7'!M51/'Table 1.1.7'!M50</f>
        <v>49243.82997985425</v>
      </c>
      <c r="K85" s="200">
        <f>K84*'Table 1.1.7'!N51/'Table 1.1.7'!N50</f>
        <v>67242.248166398334</v>
      </c>
      <c r="L85" s="235">
        <f t="shared" si="29"/>
        <v>1.0008364490600605</v>
      </c>
      <c r="M85" s="200">
        <f t="shared" si="30"/>
        <v>321422.92055095593</v>
      </c>
      <c r="N85" s="200">
        <f t="shared" si="30"/>
        <v>2341549.4363473346</v>
      </c>
      <c r="O85" s="200">
        <f t="shared" si="30"/>
        <v>220639.8112780751</v>
      </c>
      <c r="P85" s="200">
        <f t="shared" si="30"/>
        <v>86460.823818753459</v>
      </c>
      <c r="Q85" s="200">
        <f t="shared" si="30"/>
        <v>50463.137374888734</v>
      </c>
      <c r="R85" s="200">
        <f t="shared" si="30"/>
        <v>49285.019935154683</v>
      </c>
      <c r="S85" s="200">
        <f t="shared" si="30"/>
        <v>67298.492881673475</v>
      </c>
    </row>
    <row r="86" spans="1:36" s="57" customFormat="1" ht="12.75" customHeight="1">
      <c r="A86" s="124"/>
      <c r="B86" s="58">
        <v>2015</v>
      </c>
      <c r="C86" s="200">
        <f t="shared" si="27"/>
        <v>3314967.7050646273</v>
      </c>
      <c r="D86" s="23">
        <f t="shared" si="28"/>
        <v>3309707.5520481193</v>
      </c>
      <c r="E86" s="200">
        <f>E85*'Table 1.1.7'!C52/'Table 1.1.7'!C51</f>
        <v>332472.65564636939</v>
      </c>
      <c r="F86" s="200">
        <f>F85*'Table 1.1.7'!D52/'Table 1.1.7'!D51</f>
        <v>2483034.5070132688</v>
      </c>
      <c r="G86" s="200">
        <f>G85*'Table 1.1.7'!I52/'Table 1.1.7'!I51</f>
        <v>231139.70109035014</v>
      </c>
      <c r="H86" s="200">
        <f>H85*'Table 1.1.7'!H34/'Table 1.1.7'!H33</f>
        <v>86451.346572203242</v>
      </c>
      <c r="I86" s="200">
        <f>I85*'Table 1.1.7'!L52/'Table 1.1.7'!L51</f>
        <v>53311.18464482182</v>
      </c>
      <c r="J86" s="200">
        <f>J85*'Table 1.1.7'!M52/'Table 1.1.7'!M51</f>
        <v>52258.735344591732</v>
      </c>
      <c r="K86" s="200">
        <f>K85*'Table 1.1.7'!N52/'Table 1.1.7'!N51</f>
        <v>71039.421736514283</v>
      </c>
      <c r="L86" s="235">
        <f t="shared" si="29"/>
        <v>1.0015893105157443</v>
      </c>
      <c r="M86" s="200">
        <f t="shared" si="30"/>
        <v>333001.05793418561</v>
      </c>
      <c r="N86" s="200">
        <f t="shared" si="30"/>
        <v>2486980.8198662209</v>
      </c>
      <c r="O86" s="200">
        <f t="shared" si="30"/>
        <v>231507.05384789902</v>
      </c>
      <c r="P86" s="200">
        <f t="shared" si="30"/>
        <v>86588.744606410692</v>
      </c>
      <c r="Q86" s="200">
        <f t="shared" si="30"/>
        <v>53395.912671184618</v>
      </c>
      <c r="R86" s="200">
        <f t="shared" si="30"/>
        <v>52341.790702214392</v>
      </c>
      <c r="S86" s="200">
        <f t="shared" si="30"/>
        <v>71152.325436512518</v>
      </c>
    </row>
    <row r="87" spans="1:36" s="57" customFormat="1" ht="12.75" customHeight="1">
      <c r="A87" s="124"/>
      <c r="B87" s="58">
        <v>2016</v>
      </c>
      <c r="C87" s="200">
        <f t="shared" si="27"/>
        <v>3522261.1765145445</v>
      </c>
      <c r="D87" s="23">
        <f t="shared" si="28"/>
        <v>3517046.1369808507</v>
      </c>
      <c r="E87" s="200">
        <f>E86*'Table 1.1.7'!C53/'Table 1.1.7'!C52</f>
        <v>343635.36464219081</v>
      </c>
      <c r="F87" s="200">
        <f>F86*'Table 1.1.7'!D53/'Table 1.1.7'!D52</f>
        <v>2651717.2259347616</v>
      </c>
      <c r="G87" s="200">
        <f>G86*'Table 1.1.7'!I53/'Table 1.1.7'!I52</f>
        <v>243831.99508233089</v>
      </c>
      <c r="H87" s="200">
        <f>H86*'Table 1.1.7'!H35/'Table 1.1.7'!H34</f>
        <v>90868.087480957416</v>
      </c>
      <c r="I87" s="200">
        <f>I86*'Table 1.1.7'!L53/'Table 1.1.7'!L52</f>
        <v>56724.824663158739</v>
      </c>
      <c r="J87" s="200">
        <f>J86*'Table 1.1.7'!M53/'Table 1.1.7'!M52</f>
        <v>55020.050538463445</v>
      </c>
      <c r="K87" s="200">
        <f>K86*'Table 1.1.7'!N53/'Table 1.1.7'!N52</f>
        <v>75248.588638987814</v>
      </c>
      <c r="L87" s="235">
        <f t="shared" si="29"/>
        <v>1.0014827896281653</v>
      </c>
      <c r="M87" s="200">
        <f t="shared" si="30"/>
        <v>344144.90359675302</v>
      </c>
      <c r="N87" s="200">
        <f t="shared" si="30"/>
        <v>2655649.1647342048</v>
      </c>
      <c r="O87" s="200">
        <f t="shared" si="30"/>
        <v>244193.54663565382</v>
      </c>
      <c r="P87" s="200">
        <f t="shared" si="30"/>
        <v>91002.825738605388</v>
      </c>
      <c r="Q87" s="200">
        <f t="shared" si="30"/>
        <v>56808.935644828765</v>
      </c>
      <c r="R87" s="200">
        <f t="shared" si="30"/>
        <v>55101.633698743011</v>
      </c>
      <c r="S87" s="200">
        <f t="shared" si="30"/>
        <v>75360.166465755785</v>
      </c>
    </row>
    <row r="88" spans="1:36" s="57" customFormat="1" ht="12.75" customHeight="1">
      <c r="A88" s="124"/>
      <c r="B88" s="58">
        <v>2017</v>
      </c>
      <c r="C88" s="200">
        <f t="shared" si="27"/>
        <v>3731576.138403195</v>
      </c>
      <c r="D88" s="23">
        <f t="shared" si="28"/>
        <v>3729803.0714485077</v>
      </c>
      <c r="E88" s="200">
        <f>E87*'Table 1.1.7'!C54/'Table 1.1.7'!C53</f>
        <v>363245.91153977561</v>
      </c>
      <c r="F88" s="200">
        <f>F87*'Table 1.1.7'!D54/'Table 1.1.7'!D53</f>
        <v>2808853.7426872598</v>
      </c>
      <c r="G88" s="200">
        <f>G87*'Table 1.1.7'!I54/'Table 1.1.7'!I53</f>
        <v>258893.63345295849</v>
      </c>
      <c r="H88" s="200">
        <f>H87*'Table 1.1.7'!H36/'Table 1.1.7'!H35</f>
        <v>100034.31594830794</v>
      </c>
      <c r="I88" s="200">
        <f>I87*'Table 1.1.7'!L54/'Table 1.1.7'!L53</f>
        <v>60453.310153073435</v>
      </c>
      <c r="J88" s="200">
        <f>J87*'Table 1.1.7'!M54/'Table 1.1.7'!M53</f>
        <v>58641.318178426642</v>
      </c>
      <c r="K88" s="200">
        <f>K87*'Table 1.1.7'!N54/'Table 1.1.7'!N53</f>
        <v>79680.839488705664</v>
      </c>
      <c r="L88" s="235">
        <f t="shared" si="29"/>
        <v>1.0004753781689601</v>
      </c>
      <c r="M88" s="200">
        <f t="shared" si="30"/>
        <v>363418.59071608563</v>
      </c>
      <c r="N88" s="200">
        <f t="shared" si="30"/>
        <v>2810189.0104363351</v>
      </c>
      <c r="O88" s="200">
        <f t="shared" si="30"/>
        <v>259016.7058343848</v>
      </c>
      <c r="P88" s="200">
        <f t="shared" si="30"/>
        <v>100081.87007825663</v>
      </c>
      <c r="Q88" s="200">
        <f t="shared" si="30"/>
        <v>60482.048336961583</v>
      </c>
      <c r="R88" s="200">
        <f t="shared" si="30"/>
        <v>58669.194980887711</v>
      </c>
      <c r="S88" s="200">
        <f t="shared" si="30"/>
        <v>79718.718020283006</v>
      </c>
    </row>
    <row r="89" spans="1:36" s="57" customFormat="1" ht="12.75" customHeight="1">
      <c r="A89" s="124"/>
      <c r="B89" s="58">
        <v>2018</v>
      </c>
      <c r="C89" s="200">
        <f t="shared" si="27"/>
        <v>3961084.9579269635</v>
      </c>
      <c r="D89" s="23">
        <f t="shared" si="28"/>
        <v>3966220.2587779616</v>
      </c>
      <c r="E89" s="200">
        <f>E88*'Table 1.1.7'!C55/'Table 1.1.7'!C54</f>
        <v>385736.08157472877</v>
      </c>
      <c r="F89" s="200">
        <f>F88*'Table 1.1.7'!D55/'Table 1.1.7'!D54</f>
        <v>2981952.4549819808</v>
      </c>
      <c r="G89" s="200">
        <f>G88*'Table 1.1.7'!I55/'Table 1.1.7'!I54</f>
        <v>274592.66077003832</v>
      </c>
      <c r="H89" s="200">
        <f>H88*'Table 1.1.7'!H37/'Table 1.1.7'!H36</f>
        <v>112540.56739143276</v>
      </c>
      <c r="I89" s="200">
        <f>I88*'Table 1.1.7'!L55/'Table 1.1.7'!L54</f>
        <v>64392.354759626891</v>
      </c>
      <c r="J89" s="200">
        <f>J88*'Table 1.1.7'!M55/'Table 1.1.7'!M54</f>
        <v>62498.142910438481</v>
      </c>
      <c r="K89" s="200">
        <f>K88*'Table 1.1.7'!N55/'Table 1.1.7'!N54</f>
        <v>84507.996389715583</v>
      </c>
      <c r="L89" s="235">
        <f t="shared" si="29"/>
        <v>0.99870524062811872</v>
      </c>
      <c r="M89" s="200">
        <f t="shared" si="30"/>
        <v>385236.64616803714</v>
      </c>
      <c r="N89" s="200">
        <f t="shared" si="30"/>
        <v>2978091.5440943884</v>
      </c>
      <c r="O89" s="200">
        <f t="shared" si="30"/>
        <v>274237.12934905651</v>
      </c>
      <c r="P89" s="200">
        <f t="shared" si="30"/>
        <v>112394.85443708587</v>
      </c>
      <c r="Q89" s="200">
        <f t="shared" si="30"/>
        <v>64308.982154824356</v>
      </c>
      <c r="R89" s="200">
        <f t="shared" si="30"/>
        <v>62417.222854180014</v>
      </c>
      <c r="S89" s="200">
        <f t="shared" si="30"/>
        <v>84398.578869391087</v>
      </c>
    </row>
    <row r="90" spans="1:36" s="57" customFormat="1" ht="12.75" customHeight="1">
      <c r="A90" s="124"/>
      <c r="B90" s="58">
        <v>2019</v>
      </c>
      <c r="C90" s="200">
        <f t="shared" si="27"/>
        <v>4216637.6299747368</v>
      </c>
      <c r="D90" s="23">
        <f t="shared" si="28"/>
        <v>4232169.2146894485</v>
      </c>
      <c r="E90" s="200">
        <f>E89*'Table 1.1.7'!C56/'Table 1.1.7'!C55</f>
        <v>407278.16929909866</v>
      </c>
      <c r="F90" s="200">
        <f>F89*'Table 1.1.7'!D56/'Table 1.1.7'!D55</f>
        <v>3182891.692642211</v>
      </c>
      <c r="G90" s="200">
        <f>G89*'Table 1.1.7'!I56/'Table 1.1.7'!I55</f>
        <v>289915.2159108324</v>
      </c>
      <c r="H90" s="200">
        <f>H89*'Table 1.1.7'!H38/'Table 1.1.7'!H37</f>
        <v>127931.6695063025</v>
      </c>
      <c r="I90" s="200">
        <f>I89*'Table 1.1.7'!L56/'Table 1.1.7'!L55</f>
        <v>68477.400263094954</v>
      </c>
      <c r="J90" s="200">
        <f>J89*'Table 1.1.7'!M56/'Table 1.1.7'!M55</f>
        <v>66271.564652921137</v>
      </c>
      <c r="K90" s="200">
        <f>K89*'Table 1.1.7'!N56/'Table 1.1.7'!N55</f>
        <v>89403.502414987568</v>
      </c>
      <c r="L90" s="235">
        <f t="shared" si="29"/>
        <v>0.99633011254351478</v>
      </c>
      <c r="M90" s="200">
        <f t="shared" si="30"/>
        <v>405783.50425428763</v>
      </c>
      <c r="N90" s="200">
        <f t="shared" si="30"/>
        <v>3171210.8383440324</v>
      </c>
      <c r="O90" s="200">
        <f t="shared" si="30"/>
        <v>288851.25969651702</v>
      </c>
      <c r="P90" s="200">
        <f t="shared" si="30"/>
        <v>127462.17467709411</v>
      </c>
      <c r="Q90" s="200">
        <f t="shared" si="30"/>
        <v>68226.095910816701</v>
      </c>
      <c r="R90" s="200">
        <f t="shared" si="30"/>
        <v>66028.355469079732</v>
      </c>
      <c r="S90" s="200">
        <f t="shared" si="30"/>
        <v>89075.401622908961</v>
      </c>
    </row>
    <row r="91" spans="1:36" s="57" customFormat="1" ht="12.75" customHeight="1">
      <c r="A91" s="124"/>
      <c r="B91" s="58">
        <v>2020</v>
      </c>
      <c r="C91" s="200">
        <f t="shared" si="27"/>
        <v>4497214.8904036339</v>
      </c>
      <c r="D91" s="23">
        <f t="shared" si="28"/>
        <v>4527876.3855593223</v>
      </c>
      <c r="E91" s="200">
        <f>E90*'Table 1.1.7'!C57/'Table 1.1.7'!C56</f>
        <v>430541.56211400498</v>
      </c>
      <c r="F91" s="200">
        <f>F90*'Table 1.1.7'!D57/'Table 1.1.7'!D56</f>
        <v>3405844.6723190891</v>
      </c>
      <c r="G91" s="200">
        <f>G90*'Table 1.1.7'!I57/'Table 1.1.7'!I56</f>
        <v>305846.2711465488</v>
      </c>
      <c r="H91" s="200">
        <f>H90*'Table 1.1.7'!H39/'Table 1.1.7'!H38</f>
        <v>148430.11878431583</v>
      </c>
      <c r="I91" s="200">
        <f>I90*'Table 1.1.7'!L57/'Table 1.1.7'!L56</f>
        <v>72773.998086582171</v>
      </c>
      <c r="J91" s="200">
        <f>J90*'Table 1.1.7'!M57/'Table 1.1.7'!M56</f>
        <v>70002.157833213132</v>
      </c>
      <c r="K91" s="200">
        <f>K90*'Table 1.1.7'!N57/'Table 1.1.7'!N56</f>
        <v>94437.605275568785</v>
      </c>
      <c r="L91" s="235">
        <f t="shared" si="29"/>
        <v>0.99322828351642356</v>
      </c>
      <c r="M91" s="200">
        <f t="shared" si="30"/>
        <v>427626.05672097282</v>
      </c>
      <c r="N91" s="200">
        <f t="shared" si="30"/>
        <v>3382781.2578110448</v>
      </c>
      <c r="O91" s="200">
        <f t="shared" si="30"/>
        <v>303775.16691078531</v>
      </c>
      <c r="P91" s="200">
        <f t="shared" si="30"/>
        <v>147424.99210228486</v>
      </c>
      <c r="Q91" s="200">
        <f t="shared" si="30"/>
        <v>72281.193204163501</v>
      </c>
      <c r="R91" s="200">
        <f t="shared" si="30"/>
        <v>69528.12306712805</v>
      </c>
      <c r="S91" s="200">
        <f t="shared" si="30"/>
        <v>93798.100587254725</v>
      </c>
    </row>
    <row r="92" spans="1:36" s="57" customFormat="1" ht="12.75" customHeight="1">
      <c r="A92" s="124"/>
      <c r="B92" s="58">
        <v>2021</v>
      </c>
      <c r="C92" s="200">
        <f t="shared" si="27"/>
        <v>4791617.8625838077</v>
      </c>
      <c r="D92" s="23">
        <f t="shared" si="28"/>
        <v>4841404.9809038518</v>
      </c>
      <c r="E92" s="200">
        <f>E91*'Table 1.1.7'!C58/'Table 1.1.7'!C57</f>
        <v>454040.45938345906</v>
      </c>
      <c r="F92" s="200">
        <f>F91*'Table 1.1.7'!D58/'Table 1.1.7'!D57</f>
        <v>3640890.7108767107</v>
      </c>
      <c r="G92" s="200">
        <f>G91*'Table 1.1.7'!I58/'Table 1.1.7'!I57</f>
        <v>322469.28315938503</v>
      </c>
      <c r="H92" s="200">
        <f>H91*'Table 1.1.7'!H40/'Table 1.1.7'!H39</f>
        <v>173285.6657036588</v>
      </c>
      <c r="I92" s="200">
        <f>I91*'Table 1.1.7'!L58/'Table 1.1.7'!L57</f>
        <v>77307.971517978163</v>
      </c>
      <c r="J92" s="200">
        <f>J91*'Table 1.1.7'!M58/'Table 1.1.7'!M57</f>
        <v>73940.131419902013</v>
      </c>
      <c r="K92" s="200">
        <f>K91*'Table 1.1.7'!N58/'Table 1.1.7'!N57</f>
        <v>99470.758842757496</v>
      </c>
      <c r="L92" s="235">
        <f t="shared" si="29"/>
        <v>0.98971639048655891</v>
      </c>
      <c r="M92" s="200">
        <f t="shared" si="30"/>
        <v>449371.28459585615</v>
      </c>
      <c r="N92" s="200">
        <f t="shared" si="30"/>
        <v>3603449.2125249398</v>
      </c>
      <c r="O92" s="200">
        <f t="shared" si="30"/>
        <v>319153.13497129467</v>
      </c>
      <c r="P92" s="200">
        <f t="shared" si="30"/>
        <v>171503.66358328567</v>
      </c>
      <c r="Q92" s="200">
        <f t="shared" si="30"/>
        <v>76512.966526611053</v>
      </c>
      <c r="R92" s="200">
        <f t="shared" si="30"/>
        <v>73179.759981007228</v>
      </c>
      <c r="S92" s="200">
        <f t="shared" si="30"/>
        <v>98447.840400812915</v>
      </c>
    </row>
    <row r="93" spans="1:36" s="57" customFormat="1" ht="15" customHeight="1">
      <c r="A93" s="89"/>
      <c r="B93" s="123" t="s">
        <v>23</v>
      </c>
      <c r="C93" s="63" t="s">
        <v>67</v>
      </c>
      <c r="D93" s="63" t="s">
        <v>68</v>
      </c>
      <c r="E93" s="28" t="str">
        <f>C93</f>
        <v>[P1a]</v>
      </c>
      <c r="F93" s="30"/>
      <c r="G93" s="30"/>
      <c r="H93" s="30"/>
      <c r="I93" s="30"/>
      <c r="J93" s="30"/>
      <c r="K93" s="29"/>
      <c r="L93" s="63" t="s">
        <v>69</v>
      </c>
      <c r="M93" s="28" t="s">
        <v>70</v>
      </c>
      <c r="N93" s="30"/>
      <c r="O93" s="30"/>
      <c r="P93" s="30"/>
      <c r="Q93" s="30"/>
      <c r="R93" s="30"/>
      <c r="S93" s="30"/>
    </row>
    <row r="94" spans="1:36" s="89" customFormat="1" ht="18" customHeight="1">
      <c r="B94" s="39" t="str">
        <f>C93</f>
        <v>[P1a]</v>
      </c>
      <c r="C94" s="236" t="s">
        <v>399</v>
      </c>
      <c r="D94" s="236"/>
      <c r="E94" s="236"/>
      <c r="F94" s="236"/>
      <c r="G94" s="236"/>
      <c r="H94" s="236"/>
      <c r="I94" s="236"/>
      <c r="J94" s="236"/>
      <c r="K94" s="236"/>
      <c r="L94" s="236"/>
      <c r="M94" s="88"/>
      <c r="N94" s="88"/>
      <c r="R94" s="151"/>
      <c r="AJ94" s="124"/>
    </row>
    <row r="95" spans="1:36" s="89" customFormat="1" ht="18" customHeight="1">
      <c r="B95" s="39" t="str">
        <f>E93</f>
        <v>[P1a]</v>
      </c>
      <c r="C95" s="88" t="s">
        <v>400</v>
      </c>
      <c r="D95" s="88"/>
      <c r="E95" s="88"/>
      <c r="F95" s="88"/>
      <c r="G95" s="88"/>
      <c r="H95" s="88"/>
      <c r="I95" s="88"/>
      <c r="J95" s="88"/>
      <c r="K95" s="88"/>
      <c r="L95" s="88"/>
      <c r="M95" s="88"/>
      <c r="N95" s="88"/>
      <c r="R95" s="151"/>
      <c r="AJ95" s="124"/>
    </row>
    <row r="96" spans="1:36" s="89" customFormat="1" ht="18" customHeight="1">
      <c r="B96" s="39" t="str">
        <f>L93</f>
        <v>[P1c]</v>
      </c>
      <c r="C96" s="88" t="s">
        <v>401</v>
      </c>
      <c r="D96" s="88"/>
      <c r="E96" s="88"/>
      <c r="F96" s="88"/>
      <c r="G96" s="88"/>
      <c r="H96" s="88"/>
      <c r="I96" s="88"/>
      <c r="J96" s="88"/>
      <c r="K96" s="88"/>
      <c r="L96" s="88"/>
      <c r="M96" s="88"/>
      <c r="N96" s="88"/>
      <c r="R96" s="151"/>
      <c r="AJ96" s="124"/>
    </row>
    <row r="97" spans="1:36" s="89" customFormat="1" ht="18" customHeight="1">
      <c r="B97" s="39" t="str">
        <f>M93</f>
        <v>[P1d]</v>
      </c>
      <c r="C97" s="88" t="s">
        <v>402</v>
      </c>
      <c r="D97" s="88"/>
      <c r="E97" s="88"/>
      <c r="F97" s="88"/>
      <c r="G97" s="88"/>
      <c r="H97" s="88"/>
      <c r="I97" s="88"/>
      <c r="J97" s="88"/>
      <c r="K97" s="88"/>
      <c r="L97" s="88"/>
      <c r="M97" s="88"/>
      <c r="N97" s="88"/>
      <c r="R97" s="151"/>
      <c r="AJ97" s="124"/>
    </row>
    <row r="98" spans="1:36" s="38" customFormat="1" ht="19.5" customHeight="1">
      <c r="A98" s="35" t="s">
        <v>79</v>
      </c>
      <c r="B98" s="43" t="s">
        <v>403</v>
      </c>
      <c r="C98" s="43"/>
      <c r="D98" s="43"/>
      <c r="E98" s="43"/>
      <c r="F98" s="43"/>
      <c r="G98" s="67"/>
      <c r="H98" s="67"/>
      <c r="I98" s="67"/>
      <c r="J98" s="67"/>
      <c r="K98" s="67"/>
      <c r="L98" s="67"/>
      <c r="M98" s="67"/>
      <c r="N98" s="45"/>
      <c r="O98" s="45"/>
      <c r="P98" s="45"/>
      <c r="Q98" s="45"/>
      <c r="R98" s="45"/>
      <c r="S98" s="45"/>
      <c r="T98" s="237"/>
      <c r="U98" s="237"/>
      <c r="V98" s="237"/>
      <c r="W98" s="113"/>
      <c r="AJ98" s="113"/>
    </row>
    <row r="99" spans="1:36" s="49" customFormat="1" ht="15" customHeight="1">
      <c r="A99" s="124"/>
      <c r="B99" s="79" t="s">
        <v>94</v>
      </c>
      <c r="C99" s="14" t="s">
        <v>404</v>
      </c>
      <c r="D99" s="28" t="s">
        <v>390</v>
      </c>
      <c r="E99" s="30"/>
      <c r="F99" s="30"/>
      <c r="G99" s="30"/>
      <c r="H99" s="30"/>
      <c r="I99" s="15" t="s">
        <v>405</v>
      </c>
      <c r="J99" s="28" t="s">
        <v>392</v>
      </c>
      <c r="K99" s="30"/>
      <c r="L99" s="30"/>
      <c r="M99" s="30"/>
      <c r="N99" s="30"/>
      <c r="R99" s="48"/>
      <c r="AJ99" s="48"/>
    </row>
    <row r="100" spans="1:36" s="49" customFormat="1" ht="45">
      <c r="A100" s="124"/>
      <c r="B100" s="50"/>
      <c r="C100" s="18"/>
      <c r="D100" s="81" t="s">
        <v>393</v>
      </c>
      <c r="E100" s="81" t="s">
        <v>277</v>
      </c>
      <c r="F100" s="81" t="s">
        <v>278</v>
      </c>
      <c r="G100" s="156" t="s">
        <v>279</v>
      </c>
      <c r="H100" s="156" t="s">
        <v>370</v>
      </c>
      <c r="I100" s="9"/>
      <c r="J100" s="81" t="s">
        <v>393</v>
      </c>
      <c r="K100" s="81" t="s">
        <v>277</v>
      </c>
      <c r="L100" s="81" t="s">
        <v>278</v>
      </c>
      <c r="M100" s="156" t="s">
        <v>279</v>
      </c>
      <c r="N100" s="81" t="s">
        <v>370</v>
      </c>
      <c r="R100" s="48"/>
      <c r="AJ100" s="48"/>
    </row>
    <row r="101" spans="1:36" s="57" customFormat="1" ht="12.75" customHeight="1">
      <c r="A101" s="124"/>
      <c r="B101" s="58">
        <v>2012</v>
      </c>
      <c r="C101" s="200">
        <f t="shared" ref="C101:C110" si="31">N83</f>
        <v>2054282.9183951544</v>
      </c>
      <c r="D101" s="23">
        <f t="shared" ref="D101:D110" si="32">SUM(E101:H101)</f>
        <v>2051914.1085401624</v>
      </c>
      <c r="E101" s="200">
        <f>H58*'Table 1.1.7'!E49/'Table 1.1.7'!E48</f>
        <v>921482.98347053898</v>
      </c>
      <c r="F101" s="200">
        <f>I58*'Table 1.1.7'!F49/'Table 1.1.7'!F48</f>
        <v>587045.453042596</v>
      </c>
      <c r="G101" s="200">
        <f>J58*'Table 1.1.7'!G49/'Table 1.1.7'!G48</f>
        <v>436372.9738145888</v>
      </c>
      <c r="H101" s="200">
        <f>M58*'Table 1.1.7'!H49/'Table 1.1.7'!H48</f>
        <v>107012.69821243876</v>
      </c>
      <c r="I101" s="235">
        <f t="shared" ref="I101:I110" si="33">C101/D101</f>
        <v>1.0011544390894009</v>
      </c>
      <c r="J101" s="23">
        <f>SUM(K101:N101)</f>
        <v>2054282.9183951549</v>
      </c>
      <c r="K101" s="200">
        <f t="shared" ref="K101:N110" si="34">E101*$I101</f>
        <v>922546.77944687521</v>
      </c>
      <c r="L101" s="200">
        <f t="shared" si="34"/>
        <v>587723.16126084351</v>
      </c>
      <c r="M101" s="200">
        <f t="shared" si="34"/>
        <v>436876.73983311851</v>
      </c>
      <c r="N101" s="200">
        <f t="shared" si="34"/>
        <v>107136.23785431746</v>
      </c>
    </row>
    <row r="102" spans="1:36" s="57" customFormat="1" ht="12.75" customHeight="1">
      <c r="A102" s="124"/>
      <c r="B102" s="58">
        <v>2013</v>
      </c>
      <c r="C102" s="200">
        <f t="shared" si="31"/>
        <v>2137705.8677778337</v>
      </c>
      <c r="D102" s="23">
        <f t="shared" si="32"/>
        <v>2133017.4493848542</v>
      </c>
      <c r="E102" s="200">
        <f>E101*'Table 1.1.7'!E50/'Table 1.1.7'!E49</f>
        <v>959352.92844946065</v>
      </c>
      <c r="F102" s="200">
        <f>F101*'Table 1.1.7'!F50/'Table 1.1.7'!F49</f>
        <v>594590.17382037337</v>
      </c>
      <c r="G102" s="200">
        <f>G101*'Table 1.1.7'!G50/'Table 1.1.7'!G49</f>
        <v>466858.86329283996</v>
      </c>
      <c r="H102" s="200">
        <f>H101*'Table 1.1.7'!H50/'Table 1.1.7'!H49</f>
        <v>112215.48382218058</v>
      </c>
      <c r="I102" s="235">
        <f t="shared" si="33"/>
        <v>1.0021980215840858</v>
      </c>
      <c r="J102" s="23">
        <f t="shared" ref="J102:J110" si="35">SUM(K102:N102)</f>
        <v>2137705.8677778342</v>
      </c>
      <c r="K102" s="200">
        <f t="shared" si="34"/>
        <v>961461.6068929485</v>
      </c>
      <c r="L102" s="200">
        <f t="shared" si="34"/>
        <v>595897.09585611592</v>
      </c>
      <c r="M102" s="200">
        <f t="shared" si="34"/>
        <v>467885.02915107936</v>
      </c>
      <c r="N102" s="200">
        <f t="shared" si="34"/>
        <v>112462.13587769037</v>
      </c>
    </row>
    <row r="103" spans="1:36" s="57" customFormat="1" ht="12.75" customHeight="1">
      <c r="A103" s="124"/>
      <c r="B103" s="58">
        <v>2014</v>
      </c>
      <c r="C103" s="200">
        <f t="shared" si="31"/>
        <v>2341549.4363473346</v>
      </c>
      <c r="D103" s="23">
        <f t="shared" si="32"/>
        <v>2335233.5040184073</v>
      </c>
      <c r="E103" s="200">
        <f>E102*'Table 1.1.7'!E51/'Table 1.1.7'!E50</f>
        <v>1034693.5870596347</v>
      </c>
      <c r="F103" s="200">
        <f>F102*'Table 1.1.7'!F51/'Table 1.1.7'!F50</f>
        <v>631010.11991123005</v>
      </c>
      <c r="G103" s="200">
        <f>G102*'Table 1.1.7'!G51/'Table 1.1.7'!G50</f>
        <v>550788.48247774737</v>
      </c>
      <c r="H103" s="200">
        <f>H102*'Table 1.1.7'!H51/'Table 1.1.7'!H50</f>
        <v>118741.31456979491</v>
      </c>
      <c r="I103" s="235">
        <f t="shared" si="33"/>
        <v>1.0027046256051306</v>
      </c>
      <c r="J103" s="23">
        <f t="shared" si="35"/>
        <v>2341549.4363473342</v>
      </c>
      <c r="K103" s="200">
        <f t="shared" si="34"/>
        <v>1037492.0458286607</v>
      </c>
      <c r="L103" s="200">
        <f t="shared" si="34"/>
        <v>632716.76603863854</v>
      </c>
      <c r="M103" s="200">
        <f t="shared" si="34"/>
        <v>552278.15911046776</v>
      </c>
      <c r="N103" s="200">
        <f t="shared" si="34"/>
        <v>119062.46536956725</v>
      </c>
    </row>
    <row r="104" spans="1:36" s="57" customFormat="1" ht="12.75" customHeight="1">
      <c r="A104" s="124"/>
      <c r="B104" s="58">
        <v>2015</v>
      </c>
      <c r="C104" s="200">
        <f t="shared" si="31"/>
        <v>2486980.8198662209</v>
      </c>
      <c r="D104" s="23">
        <f t="shared" si="32"/>
        <v>2478204.3988744495</v>
      </c>
      <c r="E104" s="200">
        <f>E103*'Table 1.1.7'!E52/'Table 1.1.7'!E51</f>
        <v>1099588.9018644234</v>
      </c>
      <c r="F104" s="200">
        <f>F103*'Table 1.1.7'!F52/'Table 1.1.7'!F51</f>
        <v>662214.44116835122</v>
      </c>
      <c r="G104" s="200">
        <f>G103*'Table 1.1.7'!G52/'Table 1.1.7'!G51</f>
        <v>590444.5761956746</v>
      </c>
      <c r="H104" s="200">
        <f>H103*'Table 1.1.7'!H52/'Table 1.1.7'!H51</f>
        <v>125956.47964600044</v>
      </c>
      <c r="I104" s="235">
        <f t="shared" si="33"/>
        <v>1.0035414435531458</v>
      </c>
      <c r="J104" s="23">
        <f t="shared" si="35"/>
        <v>2486980.8198662209</v>
      </c>
      <c r="K104" s="200">
        <f t="shared" si="34"/>
        <v>1103483.0338920418</v>
      </c>
      <c r="L104" s="200">
        <f t="shared" si="34"/>
        <v>664559.63623182697</v>
      </c>
      <c r="M104" s="200">
        <f t="shared" si="34"/>
        <v>592535.60233353265</v>
      </c>
      <c r="N104" s="200">
        <f t="shared" si="34"/>
        <v>126402.54740881971</v>
      </c>
    </row>
    <row r="105" spans="1:36" s="57" customFormat="1" ht="12.75" customHeight="1">
      <c r="A105" s="124"/>
      <c r="B105" s="58">
        <v>2016</v>
      </c>
      <c r="C105" s="200">
        <f t="shared" si="31"/>
        <v>2655649.1647342048</v>
      </c>
      <c r="D105" s="23">
        <f t="shared" si="32"/>
        <v>2646075.7817402687</v>
      </c>
      <c r="E105" s="200">
        <f>E104*'Table 1.1.7'!E53/'Table 1.1.7'!E52</f>
        <v>1172257.3028565613</v>
      </c>
      <c r="F105" s="200">
        <f>F104*'Table 1.1.7'!F53/'Table 1.1.7'!F52</f>
        <v>702553.30978621356</v>
      </c>
      <c r="G105" s="200">
        <f>G104*'Table 1.1.7'!G53/'Table 1.1.7'!G52</f>
        <v>639411.60312750761</v>
      </c>
      <c r="H105" s="200">
        <f>H104*'Table 1.1.7'!H53/'Table 1.1.7'!H52</f>
        <v>131853.56596998617</v>
      </c>
      <c r="I105" s="235">
        <f t="shared" si="33"/>
        <v>1.0036179549580548</v>
      </c>
      <c r="J105" s="23">
        <f t="shared" si="35"/>
        <v>2655649.1647342048</v>
      </c>
      <c r="K105" s="200">
        <f t="shared" si="34"/>
        <v>1176498.4769775472</v>
      </c>
      <c r="L105" s="200">
        <f t="shared" si="34"/>
        <v>705095.11601665244</v>
      </c>
      <c r="M105" s="200">
        <f t="shared" si="34"/>
        <v>641724.96550728055</v>
      </c>
      <c r="N105" s="200">
        <f t="shared" si="34"/>
        <v>132330.6062327245</v>
      </c>
    </row>
    <row r="106" spans="1:36" s="57" customFormat="1" ht="12.75" customHeight="1">
      <c r="A106" s="124"/>
      <c r="B106" s="58">
        <v>2017</v>
      </c>
      <c r="C106" s="200">
        <f t="shared" si="31"/>
        <v>2810189.0104363351</v>
      </c>
      <c r="D106" s="23">
        <f t="shared" si="32"/>
        <v>2802294.8453893783</v>
      </c>
      <c r="E106" s="200">
        <f>E105*'Table 1.1.7'!E54/'Table 1.1.7'!E53</f>
        <v>1234996.7683839351</v>
      </c>
      <c r="F106" s="200">
        <f>F105*'Table 1.1.7'!F54/'Table 1.1.7'!F53</f>
        <v>749989.76045539475</v>
      </c>
      <c r="G106" s="200">
        <f>G105*'Table 1.1.7'!G54/'Table 1.1.7'!G53</f>
        <v>684094.95418835978</v>
      </c>
      <c r="H106" s="200">
        <f>H105*'Table 1.1.7'!H54/'Table 1.1.7'!H53</f>
        <v>133213.36236168846</v>
      </c>
      <c r="I106" s="235">
        <f t="shared" si="33"/>
        <v>1.0028170358518644</v>
      </c>
      <c r="J106" s="23">
        <f t="shared" si="35"/>
        <v>2810189.0104363351</v>
      </c>
      <c r="K106" s="200">
        <f t="shared" si="34"/>
        <v>1238475.7985574093</v>
      </c>
      <c r="L106" s="200">
        <f t="shared" si="34"/>
        <v>752102.50849912886</v>
      </c>
      <c r="M106" s="200">
        <f t="shared" si="34"/>
        <v>686022.07420038793</v>
      </c>
      <c r="N106" s="200">
        <f t="shared" si="34"/>
        <v>133588.62917940874</v>
      </c>
    </row>
    <row r="107" spans="1:36" s="57" customFormat="1" ht="12.75" customHeight="1">
      <c r="A107" s="124"/>
      <c r="B107" s="58">
        <v>2018</v>
      </c>
      <c r="C107" s="200">
        <f t="shared" si="31"/>
        <v>2978091.5440943884</v>
      </c>
      <c r="D107" s="23">
        <f t="shared" si="32"/>
        <v>2974216.887312205</v>
      </c>
      <c r="E107" s="200">
        <f>E106*'Table 1.1.7'!E55/'Table 1.1.7'!E54</f>
        <v>1298836.4532876136</v>
      </c>
      <c r="F107" s="200">
        <f>F106*'Table 1.1.7'!F55/'Table 1.1.7'!F54</f>
        <v>803968.34751347173</v>
      </c>
      <c r="G107" s="200">
        <f>G106*'Table 1.1.7'!G55/'Table 1.1.7'!G54</f>
        <v>732048.35215715924</v>
      </c>
      <c r="H107" s="200">
        <f>H106*'Table 1.1.7'!H55/'Table 1.1.7'!H54</f>
        <v>139363.73435396055</v>
      </c>
      <c r="I107" s="235">
        <f t="shared" si="33"/>
        <v>1.0013027485650803</v>
      </c>
      <c r="J107" s="23">
        <f t="shared" si="35"/>
        <v>2978091.5440943884</v>
      </c>
      <c r="K107" s="200">
        <f t="shared" si="34"/>
        <v>1300528.5106134079</v>
      </c>
      <c r="L107" s="200">
        <f t="shared" si="34"/>
        <v>805015.71612456487</v>
      </c>
      <c r="M107" s="200">
        <f t="shared" si="34"/>
        <v>733002.02709750133</v>
      </c>
      <c r="N107" s="200">
        <f t="shared" si="34"/>
        <v>139545.29025891441</v>
      </c>
    </row>
    <row r="108" spans="1:36" s="57" customFormat="1" ht="12.75" customHeight="1">
      <c r="A108" s="124"/>
      <c r="B108" s="58">
        <v>2019</v>
      </c>
      <c r="C108" s="200">
        <f t="shared" si="31"/>
        <v>3171210.8383440324</v>
      </c>
      <c r="D108" s="23">
        <f t="shared" si="32"/>
        <v>3174128.0515516088</v>
      </c>
      <c r="E108" s="200">
        <f>E107*'Table 1.1.7'!E56/'Table 1.1.7'!E55</f>
        <v>1378384.0770341372</v>
      </c>
      <c r="F108" s="200">
        <f>F107*'Table 1.1.7'!F56/'Table 1.1.7'!F55</f>
        <v>862358.70333927311</v>
      </c>
      <c r="G108" s="200">
        <f>G107*'Table 1.1.7'!G56/'Table 1.1.7'!G55</f>
        <v>785242.95354457072</v>
      </c>
      <c r="H108" s="200">
        <f>H107*'Table 1.1.7'!H56/'Table 1.1.7'!H55</f>
        <v>148142.31763362803</v>
      </c>
      <c r="I108" s="235">
        <f t="shared" si="33"/>
        <v>0.99908094028968042</v>
      </c>
      <c r="J108" s="23">
        <f t="shared" si="35"/>
        <v>3171210.8383440329</v>
      </c>
      <c r="K108" s="200">
        <f t="shared" si="34"/>
        <v>1377117.2597635891</v>
      </c>
      <c r="L108" s="200">
        <f t="shared" si="34"/>
        <v>861566.14419919054</v>
      </c>
      <c r="M108" s="200">
        <f t="shared" si="34"/>
        <v>784521.26838315558</v>
      </c>
      <c r="N108" s="200">
        <f t="shared" si="34"/>
        <v>148006.1659980976</v>
      </c>
    </row>
    <row r="109" spans="1:36" s="57" customFormat="1" ht="12.75" customHeight="1">
      <c r="A109" s="124"/>
      <c r="B109" s="58">
        <v>2020</v>
      </c>
      <c r="C109" s="200">
        <f t="shared" si="31"/>
        <v>3382781.2578110448</v>
      </c>
      <c r="D109" s="23">
        <f t="shared" si="32"/>
        <v>3395809.6777870096</v>
      </c>
      <c r="E109" s="200">
        <f>E108*'Table 1.1.7'!E57/'Table 1.1.7'!E56</f>
        <v>1464219.8537475879</v>
      </c>
      <c r="F109" s="200">
        <f>F108*'Table 1.1.7'!F57/'Table 1.1.7'!F56</f>
        <v>928958.52618285373</v>
      </c>
      <c r="G109" s="200">
        <f>G108*'Table 1.1.7'!G57/'Table 1.1.7'!G56</f>
        <v>844939.61388997745</v>
      </c>
      <c r="H109" s="200">
        <f>H108*'Table 1.1.7'!H57/'Table 1.1.7'!H56</f>
        <v>157691.68396659056</v>
      </c>
      <c r="I109" s="235">
        <f t="shared" si="33"/>
        <v>0.99616338334236232</v>
      </c>
      <c r="J109" s="23">
        <f t="shared" si="35"/>
        <v>3382781.2578110448</v>
      </c>
      <c r="K109" s="200">
        <f t="shared" si="34"/>
        <v>1458602.2034662561</v>
      </c>
      <c r="L109" s="200">
        <f t="shared" si="34"/>
        <v>925394.46842704609</v>
      </c>
      <c r="M109" s="200">
        <f t="shared" si="34"/>
        <v>841697.90449262923</v>
      </c>
      <c r="N109" s="200">
        <f t="shared" si="34"/>
        <v>157086.68142511341</v>
      </c>
    </row>
    <row r="110" spans="1:36" s="57" customFormat="1" ht="12.75" customHeight="1">
      <c r="A110" s="124"/>
      <c r="B110" s="58">
        <v>2021</v>
      </c>
      <c r="C110" s="200">
        <f t="shared" si="31"/>
        <v>3603449.2125249398</v>
      </c>
      <c r="D110" s="23">
        <f t="shared" si="32"/>
        <v>3629232.8246895545</v>
      </c>
      <c r="E110" s="200">
        <f>E109*'Table 1.1.7'!E58/'Table 1.1.7'!E57</f>
        <v>1550641.5154258001</v>
      </c>
      <c r="F110" s="200">
        <f>F109*'Table 1.1.7'!F58/'Table 1.1.7'!F57</f>
        <v>1000507.6779075232</v>
      </c>
      <c r="G110" s="200">
        <f>G109*'Table 1.1.7'!G58/'Table 1.1.7'!G57</f>
        <v>910331.04333445302</v>
      </c>
      <c r="H110" s="200">
        <f>H109*'Table 1.1.7'!H58/'Table 1.1.7'!H57</f>
        <v>167752.58802177859</v>
      </c>
      <c r="I110" s="235">
        <f t="shared" si="33"/>
        <v>0.99289557506776371</v>
      </c>
      <c r="J110" s="23">
        <f t="shared" si="35"/>
        <v>3603449.2125249398</v>
      </c>
      <c r="K110" s="200">
        <f t="shared" si="34"/>
        <v>1539625.0991826484</v>
      </c>
      <c r="L110" s="200">
        <f t="shared" si="34"/>
        <v>993399.64621570322</v>
      </c>
      <c r="M110" s="200">
        <f t="shared" si="34"/>
        <v>903863.66477359901</v>
      </c>
      <c r="N110" s="200">
        <f t="shared" si="34"/>
        <v>166560.8023529895</v>
      </c>
    </row>
    <row r="111" spans="1:36" s="57" customFormat="1" ht="15" customHeight="1">
      <c r="A111" s="89"/>
      <c r="B111" s="123" t="s">
        <v>23</v>
      </c>
      <c r="C111" s="63" t="s">
        <v>84</v>
      </c>
      <c r="D111" s="63" t="s">
        <v>85</v>
      </c>
      <c r="E111" s="28" t="s">
        <v>86</v>
      </c>
      <c r="F111" s="30"/>
      <c r="G111" s="30"/>
      <c r="H111" s="29"/>
      <c r="I111" s="63" t="s">
        <v>87</v>
      </c>
      <c r="J111" s="28" t="s">
        <v>406</v>
      </c>
      <c r="K111" s="30"/>
      <c r="L111" s="30"/>
      <c r="M111" s="30"/>
      <c r="N111" s="30"/>
    </row>
    <row r="112" spans="1:36" s="89" customFormat="1" ht="18" customHeight="1">
      <c r="B112" s="39" t="str">
        <f>C111</f>
        <v>[P2a]</v>
      </c>
      <c r="C112" s="236" t="s">
        <v>407</v>
      </c>
      <c r="D112" s="236"/>
      <c r="E112" s="236"/>
      <c r="F112" s="236"/>
      <c r="G112" s="236"/>
      <c r="H112" s="236"/>
      <c r="I112" s="236"/>
      <c r="J112" s="236"/>
      <c r="K112" s="236"/>
      <c r="L112" s="236"/>
      <c r="M112" s="236"/>
      <c r="N112" s="236"/>
      <c r="R112" s="151"/>
      <c r="AJ112" s="124"/>
    </row>
    <row r="113" spans="1:36" s="89" customFormat="1" ht="18" customHeight="1">
      <c r="B113" s="39" t="str">
        <f>D111</f>
        <v>[P2b]</v>
      </c>
      <c r="C113" s="88" t="s">
        <v>400</v>
      </c>
      <c r="D113" s="88"/>
      <c r="E113" s="88"/>
      <c r="F113" s="88"/>
      <c r="G113" s="88"/>
      <c r="H113" s="88"/>
      <c r="I113" s="88"/>
      <c r="J113" s="88"/>
      <c r="K113" s="88"/>
      <c r="L113" s="88"/>
      <c r="M113" s="88"/>
      <c r="N113" s="88"/>
      <c r="R113" s="151"/>
      <c r="AJ113" s="124"/>
    </row>
    <row r="114" spans="1:36" s="89" customFormat="1" ht="36" customHeight="1">
      <c r="B114" s="39" t="str">
        <f>E111</f>
        <v>[P2c]</v>
      </c>
      <c r="C114" s="88" t="s">
        <v>408</v>
      </c>
      <c r="D114" s="88"/>
      <c r="E114" s="88"/>
      <c r="F114" s="88"/>
      <c r="G114" s="88"/>
      <c r="H114" s="88"/>
      <c r="I114" s="88"/>
      <c r="J114" s="88"/>
      <c r="K114" s="88"/>
      <c r="L114" s="88"/>
      <c r="M114" s="88"/>
      <c r="N114" s="88"/>
      <c r="O114" s="88"/>
      <c r="P114" s="88"/>
      <c r="Q114" s="88"/>
      <c r="R114" s="88"/>
      <c r="S114" s="88"/>
      <c r="AJ114" s="124"/>
    </row>
    <row r="115" spans="1:36" s="89" customFormat="1" ht="18" customHeight="1">
      <c r="B115" s="39" t="str">
        <f>I111</f>
        <v>[P2d]</v>
      </c>
      <c r="C115" s="88" t="s">
        <v>409</v>
      </c>
      <c r="D115" s="88"/>
      <c r="E115" s="88"/>
      <c r="F115" s="88"/>
      <c r="G115" s="88"/>
      <c r="H115" s="88"/>
      <c r="I115" s="88"/>
      <c r="J115" s="88"/>
      <c r="K115" s="88"/>
      <c r="L115" s="88"/>
      <c r="M115" s="88"/>
      <c r="N115" s="88"/>
      <c r="R115" s="151"/>
      <c r="AJ115" s="124"/>
    </row>
    <row r="116" spans="1:36" s="89" customFormat="1" ht="18" customHeight="1">
      <c r="B116" s="39" t="str">
        <f>J111</f>
        <v>[P2e]</v>
      </c>
      <c r="C116" s="88" t="s">
        <v>402</v>
      </c>
      <c r="D116" s="88"/>
      <c r="E116" s="88"/>
      <c r="F116" s="88"/>
      <c r="G116" s="88"/>
      <c r="H116" s="88"/>
      <c r="I116" s="88"/>
      <c r="J116" s="88"/>
      <c r="K116" s="88"/>
      <c r="L116" s="88"/>
      <c r="M116" s="88"/>
      <c r="N116" s="88"/>
      <c r="R116" s="151"/>
      <c r="AJ116" s="124"/>
    </row>
    <row r="117" spans="1:36" s="38" customFormat="1" ht="19.5" customHeight="1">
      <c r="A117" s="35" t="s">
        <v>92</v>
      </c>
      <c r="B117" s="43" t="s">
        <v>410</v>
      </c>
      <c r="C117" s="43"/>
      <c r="D117" s="43"/>
      <c r="E117" s="43"/>
      <c r="F117" s="43"/>
      <c r="G117" s="67"/>
      <c r="H117" s="67"/>
      <c r="I117" s="67"/>
      <c r="J117" s="67"/>
      <c r="K117" s="67"/>
      <c r="L117" s="67"/>
      <c r="M117" s="67"/>
      <c r="N117" s="45"/>
      <c r="O117" s="45"/>
      <c r="P117" s="45"/>
      <c r="Q117" s="45"/>
      <c r="R117" s="45"/>
      <c r="S117" s="45"/>
      <c r="T117" s="237"/>
      <c r="U117" s="237"/>
      <c r="V117" s="237"/>
      <c r="W117" s="113"/>
      <c r="AJ117" s="113"/>
    </row>
    <row r="118" spans="1:36" s="49" customFormat="1" ht="24.75" customHeight="1">
      <c r="A118" s="124"/>
      <c r="B118" s="79" t="s">
        <v>411</v>
      </c>
      <c r="C118" s="28" t="s">
        <v>412</v>
      </c>
      <c r="D118" s="30"/>
      <c r="E118" s="29"/>
      <c r="F118" s="15" t="s">
        <v>413</v>
      </c>
      <c r="G118" s="137"/>
      <c r="H118" s="137"/>
      <c r="I118" s="12"/>
      <c r="J118" s="12"/>
      <c r="K118" s="12"/>
      <c r="L118" s="12"/>
      <c r="M118" s="12"/>
      <c r="N118" s="12"/>
      <c r="AJ118" s="48"/>
    </row>
    <row r="119" spans="1:36" s="49" customFormat="1" ht="22.5">
      <c r="A119" s="124"/>
      <c r="B119" s="50"/>
      <c r="C119" s="81" t="s">
        <v>148</v>
      </c>
      <c r="D119" s="81" t="s">
        <v>414</v>
      </c>
      <c r="E119" s="81" t="s">
        <v>301</v>
      </c>
      <c r="F119" s="9"/>
      <c r="G119" s="62"/>
      <c r="H119" s="62"/>
      <c r="I119" s="12"/>
      <c r="J119" s="62"/>
      <c r="K119" s="62"/>
      <c r="L119" s="62"/>
      <c r="M119" s="62"/>
      <c r="N119" s="62"/>
      <c r="AJ119" s="48"/>
    </row>
    <row r="120" spans="1:36" s="57" customFormat="1" ht="12.75" customHeight="1">
      <c r="A120" s="124"/>
      <c r="B120" s="58">
        <v>2012</v>
      </c>
      <c r="C120" s="238">
        <v>432</v>
      </c>
      <c r="D120" s="22">
        <v>248.3</v>
      </c>
      <c r="E120" s="239">
        <v>183.7</v>
      </c>
      <c r="F120" s="240">
        <f t="shared" ref="F120:F129" si="36">D120/C120</f>
        <v>0.57476851851851851</v>
      </c>
      <c r="G120" s="241"/>
      <c r="H120" s="241"/>
      <c r="I120" s="242"/>
      <c r="J120" s="243"/>
      <c r="K120" s="241"/>
      <c r="L120" s="241"/>
      <c r="M120" s="241"/>
      <c r="N120" s="241"/>
    </row>
    <row r="121" spans="1:36" s="57" customFormat="1" ht="12.75" customHeight="1">
      <c r="A121" s="124"/>
      <c r="B121" s="58">
        <v>2013</v>
      </c>
      <c r="C121" s="238">
        <v>450.5</v>
      </c>
      <c r="D121" s="22">
        <v>260</v>
      </c>
      <c r="E121" s="244">
        <v>190.6</v>
      </c>
      <c r="F121" s="240">
        <f t="shared" si="36"/>
        <v>0.57713651498335183</v>
      </c>
      <c r="G121" s="241"/>
      <c r="H121" s="241"/>
      <c r="I121" s="242"/>
      <c r="J121" s="243"/>
      <c r="K121" s="241"/>
      <c r="L121" s="241"/>
      <c r="M121" s="241"/>
      <c r="N121" s="241"/>
    </row>
    <row r="122" spans="1:36" s="57" customFormat="1" ht="12.75" customHeight="1">
      <c r="A122" s="124"/>
      <c r="B122" s="58">
        <v>2014</v>
      </c>
      <c r="C122" s="238">
        <v>498.8</v>
      </c>
      <c r="D122" s="22">
        <v>296.89999999999998</v>
      </c>
      <c r="E122" s="244">
        <v>201.9</v>
      </c>
      <c r="F122" s="240">
        <f t="shared" si="36"/>
        <v>0.59522854851643936</v>
      </c>
      <c r="G122" s="241"/>
      <c r="H122" s="241"/>
      <c r="I122" s="242"/>
      <c r="J122" s="243"/>
      <c r="K122" s="241"/>
      <c r="L122" s="241"/>
      <c r="M122" s="241"/>
      <c r="N122" s="241"/>
    </row>
    <row r="123" spans="1:36" s="57" customFormat="1" ht="12.75" customHeight="1">
      <c r="A123" s="124"/>
      <c r="B123" s="58">
        <v>2015</v>
      </c>
      <c r="C123" s="238">
        <v>538</v>
      </c>
      <c r="D123" s="22">
        <v>324.3</v>
      </c>
      <c r="E123" s="244">
        <v>213.8</v>
      </c>
      <c r="F123" s="240">
        <f t="shared" si="36"/>
        <v>0.60278810408921935</v>
      </c>
      <c r="G123" s="241"/>
      <c r="H123" s="241"/>
      <c r="I123" s="242"/>
      <c r="J123" s="243"/>
      <c r="K123" s="241"/>
      <c r="L123" s="241"/>
      <c r="M123" s="241"/>
      <c r="N123" s="241"/>
    </row>
    <row r="124" spans="1:36" s="57" customFormat="1" ht="12.75" customHeight="1">
      <c r="A124" s="124"/>
      <c r="B124" s="58">
        <v>2016</v>
      </c>
      <c r="C124" s="238">
        <v>578.29999999999995</v>
      </c>
      <c r="D124" s="22">
        <v>351.3</v>
      </c>
      <c r="E124" s="244">
        <v>227</v>
      </c>
      <c r="F124" s="240">
        <f t="shared" si="36"/>
        <v>0.60747017119142321</v>
      </c>
      <c r="G124" s="241"/>
      <c r="H124" s="241"/>
      <c r="I124" s="242"/>
      <c r="J124" s="243"/>
      <c r="K124" s="241"/>
      <c r="L124" s="241"/>
      <c r="M124" s="241"/>
      <c r="N124" s="241"/>
    </row>
    <row r="125" spans="1:36" s="57" customFormat="1" ht="12.75" customHeight="1">
      <c r="A125" s="124"/>
      <c r="B125" s="58">
        <v>2017</v>
      </c>
      <c r="C125" s="238">
        <v>617.20000000000005</v>
      </c>
      <c r="D125" s="22">
        <v>374.1</v>
      </c>
      <c r="E125" s="244">
        <v>243.1</v>
      </c>
      <c r="F125" s="240">
        <f t="shared" si="36"/>
        <v>0.60612443292287754</v>
      </c>
      <c r="G125" s="241"/>
      <c r="H125" s="241"/>
      <c r="I125" s="242"/>
      <c r="J125" s="243"/>
      <c r="K125" s="241"/>
      <c r="L125" s="241"/>
      <c r="M125" s="241"/>
      <c r="N125" s="241"/>
    </row>
    <row r="126" spans="1:36" s="57" customFormat="1" ht="12.75" customHeight="1">
      <c r="A126" s="124"/>
      <c r="B126" s="58">
        <v>2018</v>
      </c>
      <c r="C126" s="238">
        <v>654.79999999999995</v>
      </c>
      <c r="D126" s="22">
        <v>396.7</v>
      </c>
      <c r="E126" s="244">
        <v>258.2</v>
      </c>
      <c r="F126" s="240">
        <f t="shared" si="36"/>
        <v>0.60583384239462434</v>
      </c>
      <c r="G126" s="241"/>
      <c r="H126" s="241"/>
      <c r="I126" s="242"/>
      <c r="J126" s="243"/>
      <c r="K126" s="241"/>
      <c r="L126" s="241"/>
      <c r="M126" s="241"/>
      <c r="N126" s="241"/>
    </row>
    <row r="127" spans="1:36" s="57" customFormat="1" ht="12.75" customHeight="1">
      <c r="A127" s="124"/>
      <c r="B127" s="58">
        <v>2019</v>
      </c>
      <c r="C127" s="238">
        <v>698.1</v>
      </c>
      <c r="D127" s="22">
        <v>422.7</v>
      </c>
      <c r="E127" s="244">
        <v>275.3</v>
      </c>
      <c r="F127" s="240">
        <f t="shared" si="36"/>
        <v>0.60550064460678987</v>
      </c>
      <c r="G127" s="241"/>
      <c r="H127" s="241"/>
      <c r="I127" s="242"/>
      <c r="J127" s="243"/>
      <c r="K127" s="241"/>
      <c r="L127" s="241"/>
      <c r="M127" s="241"/>
      <c r="N127" s="241"/>
    </row>
    <row r="128" spans="1:36" s="57" customFormat="1" ht="12.75" customHeight="1">
      <c r="A128" s="124"/>
      <c r="B128" s="58">
        <v>2020</v>
      </c>
      <c r="C128" s="238">
        <v>746.2</v>
      </c>
      <c r="D128" s="22">
        <v>449.3</v>
      </c>
      <c r="E128" s="244">
        <v>296.8</v>
      </c>
      <c r="F128" s="240">
        <f t="shared" si="36"/>
        <v>0.60211739480032156</v>
      </c>
      <c r="G128" s="241"/>
      <c r="H128" s="241"/>
      <c r="I128" s="242"/>
      <c r="J128" s="243"/>
      <c r="K128" s="241"/>
      <c r="L128" s="241"/>
      <c r="M128" s="241"/>
      <c r="N128" s="241"/>
    </row>
    <row r="129" spans="1:36" s="57" customFormat="1" ht="12.75" customHeight="1">
      <c r="A129" s="124"/>
      <c r="B129" s="58">
        <v>2021</v>
      </c>
      <c r="C129" s="238">
        <v>795</v>
      </c>
      <c r="D129" s="22">
        <v>478.1</v>
      </c>
      <c r="E129" s="244">
        <v>316.8</v>
      </c>
      <c r="F129" s="240">
        <f t="shared" si="36"/>
        <v>0.6013836477987422</v>
      </c>
      <c r="G129" s="241"/>
      <c r="H129" s="241"/>
      <c r="I129" s="242"/>
      <c r="J129" s="243"/>
      <c r="K129" s="241"/>
      <c r="L129" s="241"/>
      <c r="M129" s="241"/>
      <c r="N129" s="241"/>
    </row>
    <row r="130" spans="1:36" s="57" customFormat="1" ht="15" customHeight="1">
      <c r="A130" s="89"/>
      <c r="B130" s="123" t="s">
        <v>23</v>
      </c>
      <c r="C130" s="28" t="s">
        <v>100</v>
      </c>
      <c r="D130" s="30"/>
      <c r="E130" s="30"/>
      <c r="F130" s="30"/>
      <c r="G130" s="137"/>
      <c r="H130" s="137"/>
      <c r="I130" s="62"/>
      <c r="J130" s="12"/>
      <c r="K130" s="12"/>
      <c r="L130" s="12"/>
      <c r="M130" s="12"/>
      <c r="N130" s="12"/>
    </row>
    <row r="131" spans="1:36" s="89" customFormat="1" ht="18" customHeight="1">
      <c r="B131" s="39" t="str">
        <f>C130</f>
        <v>[P3a]</v>
      </c>
      <c r="C131" s="88" t="s">
        <v>415</v>
      </c>
      <c r="D131" s="88"/>
      <c r="E131" s="88"/>
      <c r="F131" s="88"/>
      <c r="G131" s="88"/>
      <c r="H131" s="88"/>
      <c r="I131" s="88"/>
      <c r="J131" s="88"/>
      <c r="K131" s="88"/>
      <c r="L131" s="88"/>
      <c r="M131" s="88"/>
      <c r="N131" s="88"/>
      <c r="AJ131" s="124"/>
    </row>
    <row r="132" spans="1:36" s="38" customFormat="1" ht="19.5" customHeight="1">
      <c r="A132" s="35" t="s">
        <v>202</v>
      </c>
      <c r="B132" s="43" t="s">
        <v>416</v>
      </c>
      <c r="C132" s="43"/>
      <c r="D132" s="43"/>
      <c r="E132" s="43"/>
      <c r="F132" s="43"/>
      <c r="G132" s="43"/>
      <c r="H132" s="43"/>
      <c r="I132" s="43"/>
      <c r="J132" s="43"/>
      <c r="K132" s="43"/>
      <c r="L132" s="43"/>
      <c r="M132" s="43"/>
      <c r="N132" s="43"/>
      <c r="O132" s="43"/>
      <c r="P132" s="43"/>
      <c r="Q132" s="43"/>
      <c r="R132" s="43"/>
      <c r="S132" s="43"/>
      <c r="T132" s="234"/>
      <c r="U132" s="234"/>
      <c r="V132" s="237"/>
      <c r="W132" s="113"/>
      <c r="AJ132" s="113"/>
    </row>
    <row r="133" spans="1:36" s="49" customFormat="1" ht="24.75" customHeight="1">
      <c r="A133" s="124"/>
      <c r="B133" s="79" t="s">
        <v>94</v>
      </c>
      <c r="C133" s="28" t="s">
        <v>370</v>
      </c>
      <c r="D133" s="29"/>
      <c r="E133" s="192" t="s">
        <v>417</v>
      </c>
      <c r="F133" s="193"/>
      <c r="G133" s="194"/>
      <c r="H133" s="28" t="s">
        <v>397</v>
      </c>
      <c r="I133" s="29"/>
      <c r="J133" s="192" t="s">
        <v>360</v>
      </c>
      <c r="K133" s="193"/>
      <c r="L133" s="194"/>
      <c r="M133" s="192" t="s">
        <v>298</v>
      </c>
      <c r="N133" s="193"/>
      <c r="O133" s="194"/>
      <c r="P133" s="224" t="s">
        <v>299</v>
      </c>
      <c r="Q133" s="225"/>
      <c r="R133" s="225"/>
      <c r="S133" s="48"/>
    </row>
    <row r="134" spans="1:36" s="49" customFormat="1" ht="22.5">
      <c r="A134" s="124"/>
      <c r="B134" s="50"/>
      <c r="C134" s="227" t="s">
        <v>300</v>
      </c>
      <c r="D134" s="227" t="s">
        <v>301</v>
      </c>
      <c r="E134" s="227" t="s">
        <v>300</v>
      </c>
      <c r="F134" s="227" t="s">
        <v>301</v>
      </c>
      <c r="G134" s="227" t="s">
        <v>379</v>
      </c>
      <c r="H134" s="227" t="s">
        <v>300</v>
      </c>
      <c r="I134" s="227" t="s">
        <v>301</v>
      </c>
      <c r="J134" s="227" t="s">
        <v>379</v>
      </c>
      <c r="K134" s="227" t="s">
        <v>300</v>
      </c>
      <c r="L134" s="227" t="s">
        <v>301</v>
      </c>
      <c r="M134" s="227" t="s">
        <v>379</v>
      </c>
      <c r="N134" s="227" t="s">
        <v>300</v>
      </c>
      <c r="O134" s="227" t="s">
        <v>301</v>
      </c>
      <c r="P134" s="227" t="s">
        <v>379</v>
      </c>
      <c r="Q134" s="227" t="s">
        <v>300</v>
      </c>
      <c r="R134" s="228" t="s">
        <v>301</v>
      </c>
      <c r="S134" s="48"/>
    </row>
    <row r="135" spans="1:36" s="57" customFormat="1" ht="12.75" customHeight="1">
      <c r="A135" s="124"/>
      <c r="B135" s="58">
        <v>2000</v>
      </c>
      <c r="C135" s="245">
        <f t="shared" ref="C135:C146" si="37">N47/M47</f>
        <v>0.9744748514520043</v>
      </c>
      <c r="D135" s="85">
        <f>1-C135</f>
        <v>2.5525148547995702E-2</v>
      </c>
      <c r="E135" s="245">
        <f t="shared" ref="E135:G146" si="38">Q47/$P47</f>
        <v>9.3056857799270601E-2</v>
      </c>
      <c r="F135" s="245">
        <f t="shared" si="38"/>
        <v>0.41746641389393185</v>
      </c>
      <c r="G135" s="245">
        <f t="shared" si="38"/>
        <v>0.48947672830679756</v>
      </c>
      <c r="H135" s="245">
        <f t="shared" ref="H135:I146" si="39">U47/$T47</f>
        <v>0.11327154040932004</v>
      </c>
      <c r="I135" s="245">
        <f t="shared" si="39"/>
        <v>0.88670522916811856</v>
      </c>
      <c r="J135" s="245">
        <f t="shared" ref="J135:L146" si="40">Y47/$X47</f>
        <v>9.5032397408207347E-2</v>
      </c>
      <c r="K135" s="245">
        <f t="shared" si="40"/>
        <v>0.77341449047712552</v>
      </c>
      <c r="L135" s="245">
        <f t="shared" si="40"/>
        <v>0.13155311211466719</v>
      </c>
      <c r="M135" s="245">
        <f t="shared" ref="M135:O146" si="41">AC47/$AB47</f>
        <v>0.84968865768109092</v>
      </c>
      <c r="N135" s="245">
        <f t="shared" si="41"/>
        <v>3.0503665169070701E-2</v>
      </c>
      <c r="O135" s="245">
        <f t="shared" si="41"/>
        <v>0.11980767714983842</v>
      </c>
      <c r="P135" s="245">
        <f t="shared" ref="P135:R146" si="42">AG47/$AF47</f>
        <v>0.71988230806952547</v>
      </c>
      <c r="Q135" s="245">
        <f t="shared" si="42"/>
        <v>0.13834250531248296</v>
      </c>
      <c r="R135" s="245">
        <f t="shared" si="42"/>
        <v>0.1417751866179916</v>
      </c>
    </row>
    <row r="136" spans="1:36" s="57" customFormat="1" ht="12.75" customHeight="1">
      <c r="A136" s="124"/>
      <c r="B136" s="58">
        <v>2001</v>
      </c>
      <c r="C136" s="245">
        <f t="shared" si="37"/>
        <v>0.96925228828740395</v>
      </c>
      <c r="D136" s="85">
        <f t="shared" ref="D136:D147" si="43">1-C136</f>
        <v>3.0747711712596049E-2</v>
      </c>
      <c r="E136" s="245">
        <f t="shared" si="38"/>
        <v>9.9601238692355806E-2</v>
      </c>
      <c r="F136" s="245">
        <f t="shared" si="38"/>
        <v>0.44257074428325166</v>
      </c>
      <c r="G136" s="245">
        <f t="shared" si="38"/>
        <v>0.45782038960840848</v>
      </c>
      <c r="H136" s="245">
        <f t="shared" si="39"/>
        <v>0.1234264463869713</v>
      </c>
      <c r="I136" s="245">
        <f t="shared" si="39"/>
        <v>0.87655218106819976</v>
      </c>
      <c r="J136" s="245">
        <f t="shared" si="40"/>
        <v>8.6425815503332171E-2</v>
      </c>
      <c r="K136" s="245">
        <f t="shared" si="40"/>
        <v>0.78698702209750959</v>
      </c>
      <c r="L136" s="245">
        <f t="shared" si="40"/>
        <v>0.12655208698702211</v>
      </c>
      <c r="M136" s="245">
        <f t="shared" si="41"/>
        <v>0.8454322689333027</v>
      </c>
      <c r="N136" s="245">
        <f t="shared" si="41"/>
        <v>2.7682058350562831E-2</v>
      </c>
      <c r="O136" s="245">
        <f t="shared" si="41"/>
        <v>0.12688567271613446</v>
      </c>
      <c r="P136" s="245">
        <f t="shared" si="42"/>
        <v>0.71928723462315125</v>
      </c>
      <c r="Q136" s="245">
        <f t="shared" si="42"/>
        <v>0.13676799650712221</v>
      </c>
      <c r="R136" s="245">
        <f t="shared" si="42"/>
        <v>0.14394476886972657</v>
      </c>
    </row>
    <row r="137" spans="1:36" s="57" customFormat="1" ht="12.75" customHeight="1">
      <c r="A137" s="124"/>
      <c r="B137" s="58">
        <v>2002</v>
      </c>
      <c r="C137" s="245">
        <f t="shared" si="37"/>
        <v>0.96504842051845896</v>
      </c>
      <c r="D137" s="85">
        <f t="shared" si="43"/>
        <v>3.495157948154104E-2</v>
      </c>
      <c r="E137" s="245">
        <f t="shared" si="38"/>
        <v>9.9451921424889747E-2</v>
      </c>
      <c r="F137" s="245">
        <f t="shared" si="38"/>
        <v>0.45378099765190993</v>
      </c>
      <c r="G137" s="245">
        <f t="shared" si="38"/>
        <v>0.44677423973426494</v>
      </c>
      <c r="H137" s="245">
        <f t="shared" si="39"/>
        <v>0.15395700040348148</v>
      </c>
      <c r="I137" s="245">
        <f t="shared" si="39"/>
        <v>0.84606221299978868</v>
      </c>
      <c r="J137" s="245">
        <f t="shared" si="40"/>
        <v>7.9647676161919034E-2</v>
      </c>
      <c r="K137" s="245">
        <f t="shared" si="40"/>
        <v>0.79863193403298349</v>
      </c>
      <c r="L137" s="245">
        <f t="shared" si="40"/>
        <v>0.12172038980509745</v>
      </c>
      <c r="M137" s="245">
        <f t="shared" si="41"/>
        <v>0.82949419002050584</v>
      </c>
      <c r="N137" s="245">
        <f t="shared" si="41"/>
        <v>2.9904306220095694E-2</v>
      </c>
      <c r="O137" s="245">
        <f t="shared" si="41"/>
        <v>0.14060150375939851</v>
      </c>
      <c r="P137" s="245">
        <f t="shared" si="42"/>
        <v>0.75039246467817899</v>
      </c>
      <c r="Q137" s="245">
        <f t="shared" si="42"/>
        <v>0.12134517268445839</v>
      </c>
      <c r="R137" s="245">
        <f t="shared" si="42"/>
        <v>0.12826236263736263</v>
      </c>
    </row>
    <row r="138" spans="1:36" s="57" customFormat="1" ht="12.75" customHeight="1">
      <c r="A138" s="124"/>
      <c r="B138" s="58">
        <v>2003</v>
      </c>
      <c r="C138" s="245">
        <f t="shared" si="37"/>
        <v>0.96582512315270941</v>
      </c>
      <c r="D138" s="85">
        <f t="shared" si="43"/>
        <v>3.4174876847290592E-2</v>
      </c>
      <c r="E138" s="245">
        <f t="shared" si="38"/>
        <v>9.5674165390705765E-2</v>
      </c>
      <c r="F138" s="245">
        <f t="shared" si="38"/>
        <v>0.45983994869982858</v>
      </c>
      <c r="G138" s="245">
        <f t="shared" si="38"/>
        <v>0.44448588590946569</v>
      </c>
      <c r="H138" s="245">
        <f t="shared" si="39"/>
        <v>0.1661280379593133</v>
      </c>
      <c r="I138" s="245">
        <f t="shared" si="39"/>
        <v>0.83385328127626979</v>
      </c>
      <c r="J138" s="245">
        <f t="shared" si="40"/>
        <v>7.8535983707655688E-2</v>
      </c>
      <c r="K138" s="245">
        <f t="shared" si="40"/>
        <v>0.8004187820898947</v>
      </c>
      <c r="L138" s="245">
        <f t="shared" si="40"/>
        <v>0.1210739179072369</v>
      </c>
      <c r="M138" s="245">
        <f t="shared" si="41"/>
        <v>0.84303322441849182</v>
      </c>
      <c r="N138" s="245">
        <f t="shared" si="41"/>
        <v>2.1578079001002878E-2</v>
      </c>
      <c r="O138" s="245">
        <f t="shared" si="41"/>
        <v>0.13538869658050531</v>
      </c>
      <c r="P138" s="245">
        <f t="shared" si="42"/>
        <v>0.74295089386739077</v>
      </c>
      <c r="Q138" s="245">
        <f t="shared" si="42"/>
        <v>0.13240552161122426</v>
      </c>
      <c r="R138" s="245">
        <f t="shared" si="42"/>
        <v>0.12464358452138492</v>
      </c>
    </row>
    <row r="139" spans="1:36" s="57" customFormat="1" ht="12.75" customHeight="1">
      <c r="A139" s="124"/>
      <c r="B139" s="58">
        <v>2004</v>
      </c>
      <c r="C139" s="245">
        <f t="shared" si="37"/>
        <v>0.96378312973429914</v>
      </c>
      <c r="D139" s="85">
        <f t="shared" si="43"/>
        <v>3.6216870265700862E-2</v>
      </c>
      <c r="E139" s="245">
        <f t="shared" si="38"/>
        <v>9.5023144393096295E-2</v>
      </c>
      <c r="F139" s="245">
        <f t="shared" si="38"/>
        <v>0.463692942249049</v>
      </c>
      <c r="G139" s="245">
        <f t="shared" si="38"/>
        <v>0.44129020088654153</v>
      </c>
      <c r="H139" s="245">
        <f t="shared" si="39"/>
        <v>0.16626380573426053</v>
      </c>
      <c r="I139" s="245">
        <f t="shared" si="39"/>
        <v>0.83373619426573942</v>
      </c>
      <c r="J139" s="245">
        <f t="shared" si="40"/>
        <v>7.7672172016204424E-2</v>
      </c>
      <c r="K139" s="245">
        <f t="shared" si="40"/>
        <v>0.80505349537758386</v>
      </c>
      <c r="L139" s="245">
        <f t="shared" si="40"/>
        <v>0.1172743326062117</v>
      </c>
      <c r="M139" s="245">
        <f t="shared" si="41"/>
        <v>0.84601657491984761</v>
      </c>
      <c r="N139" s="245">
        <f t="shared" si="41"/>
        <v>1.9932248502812899E-2</v>
      </c>
      <c r="O139" s="245">
        <f t="shared" si="41"/>
        <v>0.13405117657733953</v>
      </c>
      <c r="P139" s="245">
        <f t="shared" si="42"/>
        <v>0.76037439455426103</v>
      </c>
      <c r="Q139" s="245">
        <f t="shared" si="42"/>
        <v>0.11068202644325173</v>
      </c>
      <c r="R139" s="245">
        <f t="shared" si="42"/>
        <v>0.12894357900248724</v>
      </c>
    </row>
    <row r="140" spans="1:36" s="57" customFormat="1" ht="12.75" customHeight="1">
      <c r="A140" s="124"/>
      <c r="B140" s="58">
        <v>2005</v>
      </c>
      <c r="C140" s="245">
        <f t="shared" si="37"/>
        <v>0.96393151197604787</v>
      </c>
      <c r="D140" s="85">
        <f t="shared" si="43"/>
        <v>3.6068488023952128E-2</v>
      </c>
      <c r="E140" s="245">
        <f t="shared" si="38"/>
        <v>9.1789316994009981E-2</v>
      </c>
      <c r="F140" s="245">
        <f t="shared" si="38"/>
        <v>0.46346925637782493</v>
      </c>
      <c r="G140" s="245">
        <f t="shared" si="38"/>
        <v>0.44474739278810588</v>
      </c>
      <c r="H140" s="245">
        <f t="shared" si="39"/>
        <v>0.16309357916175368</v>
      </c>
      <c r="I140" s="245">
        <f t="shared" si="39"/>
        <v>0.83692428627577087</v>
      </c>
      <c r="J140" s="245">
        <f t="shared" si="40"/>
        <v>8.3006795297852293E-2</v>
      </c>
      <c r="K140" s="245">
        <f t="shared" si="40"/>
        <v>0.80325876692624376</v>
      </c>
      <c r="L140" s="245">
        <f t="shared" si="40"/>
        <v>0.11373443777590397</v>
      </c>
      <c r="M140" s="245">
        <f t="shared" si="41"/>
        <v>0.84143512125062148</v>
      </c>
      <c r="N140" s="245">
        <f t="shared" si="41"/>
        <v>2.0963376235982985E-2</v>
      </c>
      <c r="O140" s="245">
        <f t="shared" si="41"/>
        <v>0.13760150251339556</v>
      </c>
      <c r="P140" s="245">
        <f t="shared" si="42"/>
        <v>0.75916366546618652</v>
      </c>
      <c r="Q140" s="245">
        <f t="shared" si="42"/>
        <v>0.11420568227290917</v>
      </c>
      <c r="R140" s="245">
        <f t="shared" si="42"/>
        <v>0.12663065226090436</v>
      </c>
    </row>
    <row r="141" spans="1:36" s="57" customFormat="1" ht="12.75" customHeight="1">
      <c r="A141" s="124"/>
      <c r="B141" s="58">
        <v>2006</v>
      </c>
      <c r="C141" s="245">
        <f t="shared" si="37"/>
        <v>0.96265132652185115</v>
      </c>
      <c r="D141" s="85">
        <f t="shared" si="43"/>
        <v>3.7348673478148853E-2</v>
      </c>
      <c r="E141" s="245">
        <f t="shared" si="38"/>
        <v>8.8460779421105168E-2</v>
      </c>
      <c r="F141" s="245">
        <f t="shared" si="38"/>
        <v>0.44844036385083019</v>
      </c>
      <c r="G141" s="245">
        <f t="shared" si="38"/>
        <v>0.46309885672806461</v>
      </c>
      <c r="H141" s="245">
        <f t="shared" si="39"/>
        <v>0.1522807581111468</v>
      </c>
      <c r="I141" s="245">
        <f t="shared" si="39"/>
        <v>0.84771924188885317</v>
      </c>
      <c r="J141" s="245">
        <f t="shared" si="40"/>
        <v>8.5918623755677978E-2</v>
      </c>
      <c r="K141" s="245">
        <f t="shared" si="40"/>
        <v>0.79844399342804673</v>
      </c>
      <c r="L141" s="245">
        <f t="shared" si="40"/>
        <v>0.11561322122354306</v>
      </c>
      <c r="M141" s="245">
        <f t="shared" si="41"/>
        <v>0.86831417530213895</v>
      </c>
      <c r="N141" s="245">
        <f t="shared" si="41"/>
        <v>1.836217293917838E-2</v>
      </c>
      <c r="O141" s="245">
        <f t="shared" si="41"/>
        <v>0.11332365175868266</v>
      </c>
      <c r="P141" s="245">
        <f t="shared" si="42"/>
        <v>0.7540672007848267</v>
      </c>
      <c r="Q141" s="245">
        <f t="shared" si="42"/>
        <v>0.10768884892086331</v>
      </c>
      <c r="R141" s="245">
        <f t="shared" si="42"/>
        <v>0.13824395029431</v>
      </c>
    </row>
    <row r="142" spans="1:36" s="57" customFormat="1" ht="12.75" customHeight="1">
      <c r="A142" s="124"/>
      <c r="B142" s="58">
        <v>2007</v>
      </c>
      <c r="C142" s="245">
        <f t="shared" si="37"/>
        <v>0.96277839791633446</v>
      </c>
      <c r="D142" s="85">
        <f t="shared" si="43"/>
        <v>3.7221602083665539E-2</v>
      </c>
      <c r="E142" s="245">
        <f t="shared" si="38"/>
        <v>8.5894249067314618E-2</v>
      </c>
      <c r="F142" s="245">
        <f t="shared" si="38"/>
        <v>0.42896420853447442</v>
      </c>
      <c r="G142" s="245">
        <f t="shared" si="38"/>
        <v>0.48514154239821095</v>
      </c>
      <c r="H142" s="245">
        <f t="shared" si="39"/>
        <v>0.14055219012115563</v>
      </c>
      <c r="I142" s="245">
        <f t="shared" si="39"/>
        <v>0.85944780987884439</v>
      </c>
      <c r="J142" s="245">
        <f t="shared" si="40"/>
        <v>9.01914959578375E-2</v>
      </c>
      <c r="K142" s="245">
        <f t="shared" si="40"/>
        <v>0.78732740323849948</v>
      </c>
      <c r="L142" s="245">
        <f t="shared" si="40"/>
        <v>0.12250494837001884</v>
      </c>
      <c r="M142" s="245">
        <f t="shared" si="41"/>
        <v>0.85568096313017306</v>
      </c>
      <c r="N142" s="245">
        <f t="shared" si="41"/>
        <v>2.1799419542083198E-2</v>
      </c>
      <c r="O142" s="245">
        <f t="shared" si="41"/>
        <v>0.12251961732774373</v>
      </c>
      <c r="P142" s="245">
        <f t="shared" si="42"/>
        <v>0.76773001467311563</v>
      </c>
      <c r="Q142" s="245">
        <f t="shared" si="42"/>
        <v>9.9161277466804337E-2</v>
      </c>
      <c r="R142" s="245">
        <f t="shared" si="42"/>
        <v>0.13310870786008006</v>
      </c>
    </row>
    <row r="143" spans="1:36" s="57" customFormat="1" ht="12.75" customHeight="1">
      <c r="A143" s="124"/>
      <c r="B143" s="58">
        <v>2008</v>
      </c>
      <c r="C143" s="245">
        <f t="shared" si="37"/>
        <v>0.96264534883720931</v>
      </c>
      <c r="D143" s="85">
        <f t="shared" si="43"/>
        <v>3.7354651162790686E-2</v>
      </c>
      <c r="E143" s="245">
        <f t="shared" si="38"/>
        <v>8.9281483312731766E-2</v>
      </c>
      <c r="F143" s="245">
        <f t="shared" si="38"/>
        <v>0.4427278560637275</v>
      </c>
      <c r="G143" s="245">
        <f t="shared" si="38"/>
        <v>0.46799066062354072</v>
      </c>
      <c r="H143" s="245">
        <f t="shared" si="39"/>
        <v>0.13523224758390925</v>
      </c>
      <c r="I143" s="245">
        <f t="shared" si="39"/>
        <v>0.86476775241609072</v>
      </c>
      <c r="J143" s="245">
        <f t="shared" si="40"/>
        <v>9.2319395140841823E-2</v>
      </c>
      <c r="K143" s="245">
        <f t="shared" si="40"/>
        <v>0.7790327785717579</v>
      </c>
      <c r="L143" s="245">
        <f t="shared" si="40"/>
        <v>0.12867087732239177</v>
      </c>
      <c r="M143" s="245">
        <f t="shared" si="41"/>
        <v>0.86212631009011098</v>
      </c>
      <c r="N143" s="245">
        <f t="shared" si="41"/>
        <v>1.8254244498588389E-2</v>
      </c>
      <c r="O143" s="245">
        <f t="shared" si="41"/>
        <v>0.11961944541130061</v>
      </c>
      <c r="P143" s="245">
        <f t="shared" si="42"/>
        <v>0.74721493544101114</v>
      </c>
      <c r="Q143" s="245">
        <f t="shared" si="42"/>
        <v>0.11606990767553572</v>
      </c>
      <c r="R143" s="245">
        <f t="shared" si="42"/>
        <v>0.13671515688345315</v>
      </c>
    </row>
    <row r="144" spans="1:36" s="57" customFormat="1" ht="12.75" customHeight="1">
      <c r="A144" s="124"/>
      <c r="B144" s="58">
        <v>2009</v>
      </c>
      <c r="C144" s="245">
        <f t="shared" si="37"/>
        <v>0.96350842198581566</v>
      </c>
      <c r="D144" s="85">
        <f t="shared" si="43"/>
        <v>3.6491578014184345E-2</v>
      </c>
      <c r="E144" s="245">
        <f t="shared" si="38"/>
        <v>9.1785454997245053E-2</v>
      </c>
      <c r="F144" s="245">
        <f t="shared" si="38"/>
        <v>0.42184339516643082</v>
      </c>
      <c r="G144" s="245">
        <f t="shared" si="38"/>
        <v>0.4863657479932153</v>
      </c>
      <c r="H144" s="245">
        <f t="shared" si="39"/>
        <v>0.15768589794460758</v>
      </c>
      <c r="I144" s="245">
        <f t="shared" si="39"/>
        <v>0.84231410205539248</v>
      </c>
      <c r="J144" s="245">
        <f t="shared" si="40"/>
        <v>9.0957294037072228E-2</v>
      </c>
      <c r="K144" s="245">
        <f t="shared" si="40"/>
        <v>0.77685968671983741</v>
      </c>
      <c r="L144" s="245">
        <f t="shared" si="40"/>
        <v>0.13218301924309039</v>
      </c>
      <c r="M144" s="245">
        <f t="shared" si="41"/>
        <v>0.83331197402708357</v>
      </c>
      <c r="N144" s="245">
        <f t="shared" si="41"/>
        <v>3.7656456918279298E-2</v>
      </c>
      <c r="O144" s="245">
        <f t="shared" si="41"/>
        <v>0.12903156905463711</v>
      </c>
      <c r="P144" s="245">
        <f t="shared" si="42"/>
        <v>0.72286857608655375</v>
      </c>
      <c r="Q144" s="245">
        <f t="shared" si="42"/>
        <v>0.13501797028418985</v>
      </c>
      <c r="R144" s="245">
        <f t="shared" si="42"/>
        <v>0.14211345362925637</v>
      </c>
    </row>
    <row r="145" spans="1:36" s="57" customFormat="1" ht="12.75" customHeight="1">
      <c r="A145" s="124"/>
      <c r="B145" s="58">
        <v>2010</v>
      </c>
      <c r="C145" s="245">
        <f t="shared" si="37"/>
        <v>0.96333933758837187</v>
      </c>
      <c r="D145" s="85">
        <f t="shared" si="43"/>
        <v>3.6660662411628131E-2</v>
      </c>
      <c r="E145" s="245">
        <f t="shared" si="38"/>
        <v>9.2937552878401747E-2</v>
      </c>
      <c r="F145" s="245">
        <f t="shared" si="38"/>
        <v>0.40426216268121401</v>
      </c>
      <c r="G145" s="245">
        <f t="shared" si="38"/>
        <v>0.50280028444038427</v>
      </c>
      <c r="H145" s="245">
        <f t="shared" si="39"/>
        <v>0.17512635970606399</v>
      </c>
      <c r="I145" s="245">
        <f t="shared" si="39"/>
        <v>0.82487364029393595</v>
      </c>
      <c r="J145" s="245">
        <f t="shared" si="40"/>
        <v>8.5025613813090595E-2</v>
      </c>
      <c r="K145" s="245">
        <f t="shared" si="40"/>
        <v>0.78917076555707488</v>
      </c>
      <c r="L145" s="245">
        <f t="shared" si="40"/>
        <v>0.12580362062983447</v>
      </c>
      <c r="M145" s="245">
        <f t="shared" si="41"/>
        <v>0.83156678007502394</v>
      </c>
      <c r="N145" s="245">
        <f t="shared" si="41"/>
        <v>4.638838000523423E-2</v>
      </c>
      <c r="O145" s="245">
        <f t="shared" si="41"/>
        <v>0.12204483991974177</v>
      </c>
      <c r="P145" s="245">
        <f t="shared" si="42"/>
        <v>0.72479041916167664</v>
      </c>
      <c r="Q145" s="245">
        <f t="shared" si="42"/>
        <v>0.13672961768770153</v>
      </c>
      <c r="R145" s="245">
        <f t="shared" si="42"/>
        <v>0.13846153846153847</v>
      </c>
    </row>
    <row r="146" spans="1:36" s="57" customFormat="1" ht="12.75" customHeight="1">
      <c r="A146" s="124"/>
      <c r="B146" s="58">
        <v>2011</v>
      </c>
      <c r="C146" s="245">
        <f t="shared" si="37"/>
        <v>0.96441938367535385</v>
      </c>
      <c r="D146" s="85">
        <f t="shared" si="43"/>
        <v>3.5580616324646153E-2</v>
      </c>
      <c r="E146" s="245">
        <f t="shared" si="38"/>
        <v>9.8898170880740613E-2</v>
      </c>
      <c r="F146" s="245">
        <f t="shared" si="38"/>
        <v>0.39550273894023813</v>
      </c>
      <c r="G146" s="245">
        <f t="shared" si="38"/>
        <v>0.50559909017902127</v>
      </c>
      <c r="H146" s="245">
        <f t="shared" si="39"/>
        <v>0.13086810612296587</v>
      </c>
      <c r="I146" s="245">
        <f t="shared" si="39"/>
        <v>0.86913189387703416</v>
      </c>
      <c r="J146" s="245">
        <f t="shared" si="40"/>
        <v>8.7014107683971831E-2</v>
      </c>
      <c r="K146" s="245">
        <f t="shared" si="40"/>
        <v>0.78300656218016895</v>
      </c>
      <c r="L146" s="245">
        <f t="shared" si="40"/>
        <v>0.1299592623065963</v>
      </c>
      <c r="M146" s="245">
        <f t="shared" si="41"/>
        <v>0.81459087298084565</v>
      </c>
      <c r="N146" s="245">
        <f t="shared" si="41"/>
        <v>5.7286609586018181E-2</v>
      </c>
      <c r="O146" s="245">
        <f t="shared" si="41"/>
        <v>0.12812251743313621</v>
      </c>
      <c r="P146" s="245">
        <f t="shared" si="42"/>
        <v>0.7131036609391328</v>
      </c>
      <c r="Q146" s="245">
        <f t="shared" si="42"/>
        <v>0.15318726123378959</v>
      </c>
      <c r="R146" s="245">
        <f t="shared" si="42"/>
        <v>0.13370907782707758</v>
      </c>
    </row>
    <row r="147" spans="1:36" s="57" customFormat="1" ht="12.75" customHeight="1">
      <c r="A147" s="124"/>
      <c r="B147" s="58" t="s">
        <v>418</v>
      </c>
      <c r="C147" s="245">
        <f>AVERAGE(C142:C146)</f>
        <v>0.96333817800061694</v>
      </c>
      <c r="D147" s="85">
        <f t="shared" si="43"/>
        <v>3.666182199938306E-2</v>
      </c>
      <c r="E147" s="245">
        <f>TREND(E142:E146,$B142:$B146,2012)</f>
        <v>0.10065855618504393</v>
      </c>
      <c r="F147" s="245">
        <f>TREND(F142:F146,$B142:$B146,2012)</f>
        <v>0.38704348250591991</v>
      </c>
      <c r="G147" s="245">
        <f>AVERAGE(G142:G146)</f>
        <v>0.4895794651268745</v>
      </c>
      <c r="H147" s="245">
        <f>AVERAGE(H142:H146)</f>
        <v>0.14789296029574045</v>
      </c>
      <c r="I147" s="245">
        <f>AVERAGE(I142:I146)</f>
        <v>0.85210703970425961</v>
      </c>
      <c r="J147" s="245">
        <f>TREND(J142:J146,$B142:$B146,2012)</f>
        <v>8.5007013963918077E-2</v>
      </c>
      <c r="K147" s="245">
        <f>AVERAGE(K142:K146)</f>
        <v>0.78307943925346779</v>
      </c>
      <c r="L147" s="245">
        <f>AVERAGE(L142:L146)</f>
        <v>0.12782434557438635</v>
      </c>
      <c r="M147" s="245">
        <f>TREND(M142:M146,$B142:$B146,2012)</f>
        <v>0.80563346696652616</v>
      </c>
      <c r="N147" s="245">
        <f>TREND(N142:N146,$B142:$B146,2012)</f>
        <v>6.6009576788399471E-2</v>
      </c>
      <c r="O147" s="245">
        <f>AVERAGE(O142:O146)</f>
        <v>0.12426759782931189</v>
      </c>
      <c r="P147" s="245">
        <f>AVERAGE(P142:P146)</f>
        <v>0.73514152126029797</v>
      </c>
      <c r="Q147" s="245">
        <f>TREND(Q142:Q146,$B142:$B146,2012)</f>
        <v>0.16664671013344545</v>
      </c>
      <c r="R147" s="245">
        <f>AVERAGE(R142:R146)</f>
        <v>0.13682158693228114</v>
      </c>
    </row>
    <row r="148" spans="1:36" s="57" customFormat="1" ht="15" customHeight="1">
      <c r="A148" s="89"/>
      <c r="B148" s="123" t="s">
        <v>23</v>
      </c>
      <c r="C148" s="28" t="s">
        <v>211</v>
      </c>
      <c r="D148" s="29"/>
      <c r="E148" s="28" t="s">
        <v>212</v>
      </c>
      <c r="F148" s="29"/>
      <c r="G148" s="28" t="str">
        <f>C148</f>
        <v>[P4a]</v>
      </c>
      <c r="H148" s="30"/>
      <c r="I148" s="29"/>
      <c r="J148" s="63" t="str">
        <f>E148</f>
        <v>[P4b]</v>
      </c>
      <c r="K148" s="28" t="str">
        <f>G148</f>
        <v>[P4a]</v>
      </c>
      <c r="L148" s="29"/>
      <c r="M148" s="28" t="str">
        <f>J148</f>
        <v>[P4b]</v>
      </c>
      <c r="N148" s="29"/>
      <c r="O148" s="28" t="str">
        <f>K148</f>
        <v>[P4a]</v>
      </c>
      <c r="P148" s="29"/>
      <c r="Q148" s="63" t="str">
        <f>J148</f>
        <v>[P4b]</v>
      </c>
      <c r="R148" s="27" t="str">
        <f>K148</f>
        <v>[P4a]</v>
      </c>
    </row>
    <row r="149" spans="1:36" s="89" customFormat="1" ht="18" customHeight="1">
      <c r="B149" s="39" t="str">
        <f>C148</f>
        <v>[P4a]</v>
      </c>
      <c r="C149" s="88" t="s">
        <v>419</v>
      </c>
      <c r="D149" s="88"/>
      <c r="E149" s="88"/>
      <c r="F149" s="88"/>
      <c r="G149" s="88"/>
      <c r="H149" s="88"/>
      <c r="I149" s="88"/>
      <c r="J149" s="88"/>
      <c r="K149" s="88"/>
      <c r="L149" s="88"/>
      <c r="M149" s="88"/>
      <c r="N149" s="88"/>
      <c r="O149" s="88"/>
      <c r="P149" s="88"/>
      <c r="Q149" s="88"/>
      <c r="R149" s="88"/>
      <c r="S149" s="88"/>
    </row>
    <row r="150" spans="1:36" s="89" customFormat="1" ht="24.75" customHeight="1">
      <c r="B150" s="39" t="str">
        <f>E148</f>
        <v>[P4b]</v>
      </c>
      <c r="C150" s="88" t="s">
        <v>420</v>
      </c>
      <c r="D150" s="88"/>
      <c r="E150" s="88"/>
      <c r="F150" s="88"/>
      <c r="G150" s="88"/>
      <c r="H150" s="88"/>
      <c r="I150" s="88"/>
      <c r="J150" s="88"/>
      <c r="K150" s="88"/>
      <c r="L150" s="88"/>
      <c r="M150" s="88"/>
      <c r="N150" s="88"/>
      <c r="O150" s="88"/>
      <c r="P150" s="88"/>
      <c r="Q150" s="88"/>
      <c r="R150" s="88"/>
      <c r="S150" s="151"/>
    </row>
    <row r="151" spans="1:36" s="206" customFormat="1" ht="19.5" customHeight="1">
      <c r="A151" s="207" t="s">
        <v>311</v>
      </c>
      <c r="B151" s="207"/>
      <c r="C151" s="207"/>
      <c r="D151" s="207"/>
      <c r="E151" s="207"/>
      <c r="F151" s="207"/>
      <c r="G151" s="207"/>
      <c r="H151" s="207"/>
      <c r="I151" s="207"/>
      <c r="J151" s="207"/>
      <c r="K151" s="207"/>
      <c r="L151" s="207"/>
      <c r="M151" s="207"/>
      <c r="N151" s="207"/>
      <c r="O151" s="207"/>
      <c r="P151" s="208"/>
      <c r="Q151" s="208"/>
      <c r="R151" s="208"/>
      <c r="S151" s="208"/>
      <c r="T151" s="208"/>
      <c r="U151" s="208"/>
      <c r="V151" s="208"/>
      <c r="W151" s="208"/>
      <c r="X151" s="208"/>
      <c r="Y151" s="208"/>
      <c r="Z151" s="208"/>
      <c r="AA151" s="208"/>
      <c r="AB151" s="208"/>
      <c r="AC151" s="208"/>
      <c r="AJ151" s="246"/>
    </row>
    <row r="152" spans="1:36" s="180" customFormat="1" ht="24.75" customHeight="1">
      <c r="A152" s="178" t="s">
        <v>111</v>
      </c>
      <c r="B152" s="236" t="s">
        <v>421</v>
      </c>
      <c r="C152" s="236"/>
      <c r="D152" s="236"/>
      <c r="E152" s="236"/>
      <c r="F152" s="236"/>
      <c r="G152" s="236"/>
      <c r="H152" s="236"/>
      <c r="I152" s="236"/>
      <c r="J152" s="236"/>
      <c r="K152" s="236"/>
      <c r="L152" s="236"/>
      <c r="M152" s="236"/>
      <c r="N152" s="236"/>
      <c r="O152" s="236"/>
      <c r="P152" s="236"/>
      <c r="Q152" s="236"/>
      <c r="R152" s="236"/>
      <c r="S152" s="236"/>
      <c r="T152" s="247"/>
      <c r="U152" s="247"/>
      <c r="AJ152" s="221"/>
    </row>
    <row r="153" spans="1:36" s="180" customFormat="1" ht="24.75" customHeight="1">
      <c r="A153" s="178" t="s">
        <v>113</v>
      </c>
      <c r="B153" s="88" t="s">
        <v>422</v>
      </c>
      <c r="C153" s="88"/>
      <c r="D153" s="88"/>
      <c r="E153" s="88"/>
      <c r="F153" s="88"/>
      <c r="G153" s="88"/>
      <c r="H153" s="88"/>
      <c r="I153" s="88"/>
      <c r="J153" s="88"/>
      <c r="K153" s="88"/>
      <c r="L153" s="88"/>
      <c r="M153" s="88"/>
      <c r="N153" s="88"/>
      <c r="O153" s="88"/>
      <c r="P153" s="88"/>
      <c r="Q153" s="88"/>
      <c r="R153" s="88"/>
      <c r="S153" s="88"/>
      <c r="T153" s="248"/>
      <c r="U153" s="248"/>
      <c r="AJ153" s="221"/>
    </row>
    <row r="154" spans="1:36" s="180" customFormat="1" ht="24.75" customHeight="1">
      <c r="A154" s="178" t="s">
        <v>115</v>
      </c>
      <c r="B154" s="88" t="s">
        <v>351</v>
      </c>
      <c r="C154" s="88"/>
      <c r="D154" s="88"/>
      <c r="E154" s="88"/>
      <c r="F154" s="88"/>
      <c r="G154" s="88"/>
      <c r="H154" s="88"/>
      <c r="I154" s="88"/>
      <c r="J154" s="88"/>
      <c r="K154" s="88"/>
      <c r="L154" s="88"/>
      <c r="M154" s="88"/>
      <c r="N154" s="88"/>
      <c r="O154" s="88"/>
      <c r="P154" s="88"/>
      <c r="Q154" s="88"/>
      <c r="R154" s="88"/>
      <c r="S154" s="88"/>
      <c r="T154" s="248"/>
      <c r="U154" s="248"/>
      <c r="AJ154" s="221"/>
    </row>
    <row r="155" spans="1:36" s="180" customFormat="1" ht="24.75" customHeight="1">
      <c r="A155" s="178" t="s">
        <v>117</v>
      </c>
      <c r="B155" s="88" t="s">
        <v>423</v>
      </c>
      <c r="C155" s="88"/>
      <c r="D155" s="88"/>
      <c r="E155" s="88"/>
      <c r="F155" s="88"/>
      <c r="G155" s="88"/>
      <c r="H155" s="88"/>
      <c r="I155" s="88"/>
      <c r="J155" s="88"/>
      <c r="K155" s="88"/>
      <c r="L155" s="88"/>
      <c r="M155" s="88"/>
      <c r="N155" s="88"/>
      <c r="O155" s="88"/>
      <c r="P155" s="88"/>
      <c r="Q155" s="88"/>
      <c r="R155" s="88"/>
      <c r="S155" s="88"/>
      <c r="T155" s="248"/>
      <c r="U155" s="248"/>
      <c r="AJ155" s="221"/>
    </row>
    <row r="156" spans="1:36" s="180" customFormat="1" ht="24.75" customHeight="1">
      <c r="A156" s="178" t="s">
        <v>119</v>
      </c>
      <c r="B156" s="88" t="s">
        <v>424</v>
      </c>
      <c r="C156" s="88"/>
      <c r="D156" s="88"/>
      <c r="E156" s="88"/>
      <c r="F156" s="88"/>
      <c r="G156" s="88"/>
      <c r="H156" s="88"/>
      <c r="I156" s="88"/>
      <c r="J156" s="88"/>
      <c r="K156" s="88"/>
      <c r="L156" s="88"/>
      <c r="M156" s="88"/>
      <c r="N156" s="88"/>
      <c r="O156" s="88"/>
      <c r="P156" s="88"/>
      <c r="Q156" s="88"/>
      <c r="R156" s="88"/>
      <c r="S156" s="88"/>
      <c r="T156" s="248"/>
      <c r="U156" s="248"/>
      <c r="AJ156" s="221"/>
    </row>
    <row r="157" spans="1:36" s="180" customFormat="1" ht="24.75" customHeight="1">
      <c r="A157" s="178" t="s">
        <v>121</v>
      </c>
      <c r="B157" s="88" t="s">
        <v>376</v>
      </c>
      <c r="C157" s="88"/>
      <c r="D157" s="88"/>
      <c r="E157" s="88"/>
      <c r="F157" s="88"/>
      <c r="G157" s="88"/>
      <c r="H157" s="88"/>
      <c r="I157" s="88"/>
      <c r="J157" s="88"/>
      <c r="K157" s="88"/>
      <c r="L157" s="88"/>
      <c r="M157" s="88"/>
      <c r="N157" s="88"/>
      <c r="O157" s="88"/>
      <c r="P157" s="88"/>
      <c r="Q157" s="88"/>
      <c r="R157" s="88"/>
      <c r="S157" s="88"/>
      <c r="T157" s="248"/>
      <c r="U157" s="248"/>
      <c r="AJ157" s="221"/>
    </row>
    <row r="158" spans="1:36" s="180" customFormat="1" ht="24.75" customHeight="1">
      <c r="A158" s="178" t="s">
        <v>123</v>
      </c>
      <c r="B158" s="88" t="s">
        <v>425</v>
      </c>
      <c r="C158" s="88"/>
      <c r="D158" s="88"/>
      <c r="E158" s="88"/>
      <c r="F158" s="88"/>
      <c r="G158" s="88"/>
      <c r="H158" s="88"/>
      <c r="I158" s="88"/>
      <c r="J158" s="88"/>
      <c r="K158" s="88"/>
      <c r="L158" s="88"/>
      <c r="M158" s="88"/>
      <c r="N158" s="88"/>
      <c r="O158" s="88"/>
      <c r="P158" s="88"/>
      <c r="Q158" s="88"/>
      <c r="R158" s="88"/>
      <c r="S158" s="88"/>
      <c r="T158" s="248"/>
      <c r="U158" s="248"/>
      <c r="AJ158" s="221"/>
    </row>
    <row r="159" spans="1:36" s="210" customFormat="1" ht="18" customHeight="1">
      <c r="A159" s="209" t="s">
        <v>426</v>
      </c>
      <c r="B159" s="209"/>
      <c r="C159" s="209"/>
      <c r="D159" s="209"/>
      <c r="E159" s="209"/>
      <c r="F159" s="209"/>
      <c r="G159" s="209"/>
      <c r="H159" s="209"/>
      <c r="I159" s="209"/>
      <c r="J159" s="209"/>
      <c r="K159" s="209"/>
      <c r="L159" s="209"/>
      <c r="M159" s="209"/>
      <c r="N159" s="209"/>
      <c r="O159" s="209"/>
      <c r="AJ159" s="211"/>
    </row>
    <row r="160" spans="1:36" s="180" customFormat="1" ht="36" customHeight="1">
      <c r="AJ160" s="221"/>
    </row>
    <row r="161" spans="1:36" s="210" customFormat="1">
      <c r="A161" s="211"/>
      <c r="AJ161" s="211"/>
    </row>
  </sheetData>
  <mergeCells count="107">
    <mergeCell ref="B155:S155"/>
    <mergeCell ref="B156:S156"/>
    <mergeCell ref="B157:S157"/>
    <mergeCell ref="B158:S158"/>
    <mergeCell ref="A159:O159"/>
    <mergeCell ref="C149:S149"/>
    <mergeCell ref="C150:R150"/>
    <mergeCell ref="A151:O151"/>
    <mergeCell ref="B152:S152"/>
    <mergeCell ref="B153:S153"/>
    <mergeCell ref="B154:S154"/>
    <mergeCell ref="P133:R133"/>
    <mergeCell ref="C148:D148"/>
    <mergeCell ref="E148:F148"/>
    <mergeCell ref="G148:I148"/>
    <mergeCell ref="K148:L148"/>
    <mergeCell ref="M148:N148"/>
    <mergeCell ref="O148:P148"/>
    <mergeCell ref="C130:F130"/>
    <mergeCell ref="J130:N130"/>
    <mergeCell ref="C131:N131"/>
    <mergeCell ref="B132:S132"/>
    <mergeCell ref="B133:B134"/>
    <mergeCell ref="C133:D133"/>
    <mergeCell ref="E133:G133"/>
    <mergeCell ref="H133:I133"/>
    <mergeCell ref="J133:L133"/>
    <mergeCell ref="M133:O133"/>
    <mergeCell ref="C116:N116"/>
    <mergeCell ref="B117:M117"/>
    <mergeCell ref="B118:B119"/>
    <mergeCell ref="C118:E118"/>
    <mergeCell ref="F118:F119"/>
    <mergeCell ref="I118:I119"/>
    <mergeCell ref="J118:N118"/>
    <mergeCell ref="E111:H111"/>
    <mergeCell ref="J111:N111"/>
    <mergeCell ref="C112:N112"/>
    <mergeCell ref="C113:N113"/>
    <mergeCell ref="C114:S114"/>
    <mergeCell ref="C115:N115"/>
    <mergeCell ref="B98:M98"/>
    <mergeCell ref="B99:B100"/>
    <mergeCell ref="C99:C100"/>
    <mergeCell ref="D99:H99"/>
    <mergeCell ref="I99:I100"/>
    <mergeCell ref="J99:N99"/>
    <mergeCell ref="E93:K93"/>
    <mergeCell ref="M93:S93"/>
    <mergeCell ref="C94:N94"/>
    <mergeCell ref="C95:N95"/>
    <mergeCell ref="C96:N96"/>
    <mergeCell ref="C97:N97"/>
    <mergeCell ref="B80:M80"/>
    <mergeCell ref="B81:B82"/>
    <mergeCell ref="C81:C82"/>
    <mergeCell ref="D81:K81"/>
    <mergeCell ref="L81:L82"/>
    <mergeCell ref="M81:S81"/>
    <mergeCell ref="B74:AC74"/>
    <mergeCell ref="B75:AC75"/>
    <mergeCell ref="B76:V76"/>
    <mergeCell ref="B77:V77"/>
    <mergeCell ref="B78:V78"/>
    <mergeCell ref="B79:V79"/>
    <mergeCell ref="Y69:AA69"/>
    <mergeCell ref="AC69:AE69"/>
    <mergeCell ref="AG69:AI69"/>
    <mergeCell ref="B71:S71"/>
    <mergeCell ref="A72:O72"/>
    <mergeCell ref="B73:AC73"/>
    <mergeCell ref="X5:AA5"/>
    <mergeCell ref="AB5:AE5"/>
    <mergeCell ref="AF5:AI5"/>
    <mergeCell ref="C69:E69"/>
    <mergeCell ref="F69:G69"/>
    <mergeCell ref="H69:J69"/>
    <mergeCell ref="K69:L69"/>
    <mergeCell ref="N69:O69"/>
    <mergeCell ref="Q69:S69"/>
    <mergeCell ref="U69:V69"/>
    <mergeCell ref="R5:R6"/>
    <mergeCell ref="S5:S6"/>
    <mergeCell ref="T5:T6"/>
    <mergeCell ref="U5:U6"/>
    <mergeCell ref="V5:V6"/>
    <mergeCell ref="W5:W6"/>
    <mergeCell ref="T3:V4"/>
    <mergeCell ref="W3:AI4"/>
    <mergeCell ref="B5:B6"/>
    <mergeCell ref="C5:C6"/>
    <mergeCell ref="D5:D6"/>
    <mergeCell ref="E5:E6"/>
    <mergeCell ref="G5:G6"/>
    <mergeCell ref="H5:H6"/>
    <mergeCell ref="I5:I6"/>
    <mergeCell ref="J5:L5"/>
    <mergeCell ref="A1:S1"/>
    <mergeCell ref="A2:S2"/>
    <mergeCell ref="A3:A6"/>
    <mergeCell ref="B3:E4"/>
    <mergeCell ref="F3:F6"/>
    <mergeCell ref="G3:O4"/>
    <mergeCell ref="P3:S4"/>
    <mergeCell ref="M5:O5"/>
    <mergeCell ref="P5:P6"/>
    <mergeCell ref="Q5:Q6"/>
  </mergeCells>
  <printOptions horizontalCentered="1"/>
  <pageMargins left="0.7" right="0.7" top="0.75" bottom="0.75" header="0.3" footer="0.3"/>
  <pageSetup scale="71" fitToWidth="2" fitToHeight="2" orientation="landscape" horizontalDpi="300" r:id="rId1"/>
  <rowBreaks count="3" manualBreakCount="3">
    <brk id="51" max="34" man="1"/>
    <brk id="97" max="34" man="1"/>
    <brk id="131" max="34" man="1"/>
  </rowBreaks>
  <colBreaks count="1" manualBreakCount="1">
    <brk id="19" max="156"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7"/>
  <sheetViews>
    <sheetView view="pageBreakPreview" zoomScaleNormal="100" zoomScaleSheetLayoutView="100" workbookViewId="0">
      <pane xSplit="1" ySplit="6" topLeftCell="B106" activePane="bottomRight" state="frozen"/>
      <selection activeCell="L9" sqref="L9"/>
      <selection pane="topRight" activeCell="L9" sqref="L9"/>
      <selection pane="bottomLeft" activeCell="L9" sqref="L9"/>
      <selection pane="bottomRight" activeCell="L9" sqref="L9"/>
    </sheetView>
  </sheetViews>
  <sheetFormatPr defaultRowHeight="15"/>
  <cols>
    <col min="1" max="2" width="7.7109375" customWidth="1"/>
    <col min="3" max="3" width="8" customWidth="1"/>
    <col min="4" max="4" width="7.140625" customWidth="1"/>
    <col min="5" max="5" width="7.42578125" customWidth="1"/>
    <col min="6" max="6" width="7.140625" customWidth="1"/>
    <col min="7" max="7" width="6.7109375" customWidth="1"/>
    <col min="8" max="8" width="7.7109375" customWidth="1"/>
    <col min="9" max="9" width="7" customWidth="1"/>
    <col min="10" max="10" width="7.7109375" customWidth="1"/>
  </cols>
  <sheetData>
    <row r="1" spans="1:12" ht="24.75" customHeight="1">
      <c r="A1" s="249" t="s">
        <v>427</v>
      </c>
      <c r="B1" s="249"/>
      <c r="C1" s="249"/>
      <c r="D1" s="249"/>
      <c r="E1" s="249"/>
      <c r="F1" s="249"/>
      <c r="G1" s="249"/>
      <c r="H1" s="249"/>
      <c r="I1" s="249"/>
      <c r="J1" s="249"/>
      <c r="K1" s="249"/>
      <c r="L1" s="249"/>
    </row>
    <row r="2" spans="1:12" ht="15.75" customHeight="1" thickBot="1">
      <c r="A2" s="94" t="s">
        <v>428</v>
      </c>
      <c r="B2" s="94"/>
      <c r="C2" s="94"/>
      <c r="D2" s="94"/>
      <c r="E2" s="94"/>
      <c r="F2" s="94"/>
      <c r="G2" s="94"/>
      <c r="H2" s="94"/>
      <c r="I2" s="94"/>
      <c r="J2" s="94"/>
      <c r="K2" s="94"/>
      <c r="L2" s="94"/>
    </row>
    <row r="3" spans="1:12" ht="15.75" customHeight="1" thickTop="1">
      <c r="A3" s="2" t="s">
        <v>268</v>
      </c>
      <c r="B3" s="3" t="s">
        <v>429</v>
      </c>
      <c r="C3" s="5" t="s">
        <v>430</v>
      </c>
      <c r="D3" s="6"/>
      <c r="E3" s="6"/>
      <c r="F3" s="6"/>
      <c r="G3" s="6"/>
      <c r="H3" s="6"/>
      <c r="I3" s="6"/>
      <c r="J3" s="6"/>
      <c r="K3" s="3" t="s">
        <v>431</v>
      </c>
      <c r="L3" s="2"/>
    </row>
    <row r="4" spans="1:12" ht="15.75" customHeight="1">
      <c r="A4" s="7"/>
      <c r="B4" s="8"/>
      <c r="C4" s="28" t="s">
        <v>432</v>
      </c>
      <c r="D4" s="250" t="s">
        <v>433</v>
      </c>
      <c r="E4" s="28" t="s">
        <v>434</v>
      </c>
      <c r="F4" s="250" t="s">
        <v>433</v>
      </c>
      <c r="G4" s="15" t="s">
        <v>435</v>
      </c>
      <c r="H4" s="116"/>
      <c r="I4" s="116"/>
      <c r="J4" s="116"/>
      <c r="K4" s="11"/>
      <c r="L4" s="12"/>
    </row>
    <row r="5" spans="1:12" ht="15.75" customHeight="1">
      <c r="A5" s="7"/>
      <c r="B5" s="8"/>
      <c r="C5" s="15" t="s">
        <v>436</v>
      </c>
      <c r="D5" s="15" t="s">
        <v>437</v>
      </c>
      <c r="E5" s="15" t="s">
        <v>436</v>
      </c>
      <c r="F5" s="15" t="s">
        <v>437</v>
      </c>
      <c r="G5" s="28" t="s">
        <v>438</v>
      </c>
      <c r="H5" s="29"/>
      <c r="I5" s="28" t="s">
        <v>439</v>
      </c>
      <c r="J5" s="29"/>
      <c r="K5" s="9"/>
      <c r="L5" s="95"/>
    </row>
    <row r="6" spans="1:12" ht="35.25" customHeight="1">
      <c r="A6" s="16" t="s">
        <v>22</v>
      </c>
      <c r="B6" s="17"/>
      <c r="C6" s="17"/>
      <c r="D6" s="17"/>
      <c r="E6" s="17"/>
      <c r="F6" s="17"/>
      <c r="G6" s="156" t="s">
        <v>148</v>
      </c>
      <c r="H6" s="156" t="s">
        <v>440</v>
      </c>
      <c r="I6" s="156" t="s">
        <v>148</v>
      </c>
      <c r="J6" s="156" t="s">
        <v>440</v>
      </c>
      <c r="K6" s="156" t="s">
        <v>441</v>
      </c>
      <c r="L6" s="81" t="s">
        <v>442</v>
      </c>
    </row>
    <row r="7" spans="1:12" ht="12.75" customHeight="1">
      <c r="A7" s="58">
        <v>1929</v>
      </c>
      <c r="B7" s="85">
        <f>'Table 1.1'!B6/(1000*'Table 1.3.1'!B7)</f>
        <v>3.5493483154412038E-2</v>
      </c>
      <c r="C7" s="85">
        <f>('Table 1.3.1'!$P7)/(1000*('Table 1.3.1'!N7))</f>
        <v>4.1193138753337188E-2</v>
      </c>
      <c r="D7" s="85">
        <f>('Table 1.3.1'!$E7+'Table 1.3.1'!$L7)/(1000*('Table 1.3.1'!D7+'Table 1.3.1'!J7))</f>
        <v>4.0059382640860015E-2</v>
      </c>
      <c r="E7" s="85">
        <f>'Table 1.3.1'!$E7/(1000*'Table 1.3.1'!C7)</f>
        <v>3.4102265255908197E-2</v>
      </c>
      <c r="F7" s="85">
        <f>'Table 1.3.1'!$E7/(1000*'Table 1.3.1'!D7)</f>
        <v>2.6025412958456253E-2</v>
      </c>
      <c r="G7" s="85">
        <f>'Table 1.3.1'!$L7/(1000*'Table 1.3.1'!F7)</f>
        <v>4.3301371992723131E-2</v>
      </c>
      <c r="H7" s="85">
        <f>'Table 1.3.1'!$L7/(1000*'Table 1.3.1'!G7)</f>
        <v>4.3863727473148109E-2</v>
      </c>
      <c r="I7" s="85">
        <f>'Table 1.3.1'!$L7/(1000*'Table 1.3.1'!H7)</f>
        <v>4.6909819658783394E-2</v>
      </c>
      <c r="J7" s="85">
        <f>'Table 1.3.1'!$L7/(1000*'Table 1.3.1'!J7)</f>
        <v>4.7570521344118363E-2</v>
      </c>
      <c r="K7" s="85">
        <f>'Table 1.3.3'!D7/'Table 1.3.3'!$B7</f>
        <v>3.875968992248062E-2</v>
      </c>
      <c r="L7" s="85">
        <f>'Table 1.3.3'!C7/'Table 1.3.3'!$B7</f>
        <v>4.1343669250645997E-2</v>
      </c>
    </row>
    <row r="8" spans="1:12" ht="15" customHeight="1">
      <c r="A8" s="58">
        <v>1930</v>
      </c>
      <c r="B8" s="85">
        <f>B7*(B$13/B$7)^(1/6)</f>
        <v>3.6238437517358162E-2</v>
      </c>
      <c r="C8" s="85">
        <f>('Table 1.3.1'!$P8)/(1000*('Table 1.3.1'!N8))</f>
        <v>3.8628387777573991E-2</v>
      </c>
      <c r="D8" s="85">
        <f>('Table 1.3.1'!$E8+'Table 1.3.1'!$L8)/(1000*('Table 1.3.1'!D8+'Table 1.3.1'!J8))</f>
        <v>4.2753749579062479E-2</v>
      </c>
      <c r="E8" s="85">
        <f>'Table 1.3.1'!$E8/(1000*'Table 1.3.1'!C8)</f>
        <v>3.1719526280687138E-2</v>
      </c>
      <c r="F8" s="85">
        <f>'Table 1.3.1'!$E8/(1000*'Table 1.3.1'!D8)</f>
        <v>3.2776843823376707E-2</v>
      </c>
      <c r="G8" s="85">
        <f>'Table 1.3.1'!$L8/(1000*'Table 1.3.1'!F8)</f>
        <v>4.0718224904073022E-2</v>
      </c>
      <c r="H8" s="85">
        <f>'Table 1.3.1'!$L8/(1000*'Table 1.3.1'!G8)</f>
        <v>4.1208805927013661E-2</v>
      </c>
      <c r="I8" s="85">
        <f>'Table 1.3.1'!$L8/(1000*'Table 1.3.1'!H8)</f>
        <v>4.622068772894776E-2</v>
      </c>
      <c r="J8" s="85">
        <f>'Table 1.3.1'!$L8/(1000*'Table 1.3.1'!J8)</f>
        <v>4.6853847834823749E-2</v>
      </c>
      <c r="K8" s="85">
        <f>'Table 1.3.3'!D8/'Table 1.3.3'!$B8</f>
        <v>4.136947218259629E-2</v>
      </c>
      <c r="L8" s="85">
        <f>'Table 1.3.3'!C8/'Table 1.3.3'!$B8</f>
        <v>4.4222539229671905E-2</v>
      </c>
    </row>
    <row r="9" spans="1:12" ht="12.75" customHeight="1">
      <c r="A9" s="58">
        <v>1931</v>
      </c>
      <c r="B9" s="85">
        <f>B8*(B$13/B$7)^(1/6)</f>
        <v>3.6999027342184944E-2</v>
      </c>
      <c r="C9" s="85">
        <f>('Table 1.3.1'!$P9)/(1000*('Table 1.3.1'!N9))</f>
        <v>3.5453458193600886E-2</v>
      </c>
      <c r="D9" s="85">
        <f>('Table 1.3.1'!$E9+'Table 1.3.1'!$L9)/(1000*('Table 1.3.1'!D9+'Table 1.3.1'!J9))</f>
        <v>4.963484147104124E-2</v>
      </c>
      <c r="E9" s="85">
        <f>'Table 1.3.1'!$E9/(1000*'Table 1.3.1'!C9)</f>
        <v>2.1758715308819319E-2</v>
      </c>
      <c r="F9" s="85">
        <f>'Table 1.3.1'!$E9/(1000*'Table 1.3.1'!D9)</f>
        <v>4.8957109444843466E-2</v>
      </c>
      <c r="G9" s="85">
        <f>'Table 1.3.1'!$L9/(1000*'Table 1.3.1'!F9)</f>
        <v>4.1523732660676695E-2</v>
      </c>
      <c r="H9" s="85">
        <f>'Table 1.3.1'!$L9/(1000*'Table 1.3.1'!G9)</f>
        <v>4.3061648685146198E-2</v>
      </c>
      <c r="I9" s="85">
        <f>'Table 1.3.1'!$L9/(1000*'Table 1.3.1'!H9)</f>
        <v>4.7780733472559483E-2</v>
      </c>
      <c r="J9" s="85">
        <f>'Table 1.3.1'!$L9/(1000*'Table 1.3.1'!J9)</f>
        <v>4.9828479192812032E-2</v>
      </c>
      <c r="K9" s="85">
        <f>'Table 1.3.3'!D9/'Table 1.3.3'!$B9</f>
        <v>4.2833607907742995E-2</v>
      </c>
      <c r="L9" s="85">
        <f>'Table 1.3.3'!C9/'Table 1.3.3'!$B9</f>
        <v>4.4481054365733116E-2</v>
      </c>
    </row>
    <row r="10" spans="1:12" ht="12.75" customHeight="1">
      <c r="A10" s="58">
        <v>1932</v>
      </c>
      <c r="B10" s="85">
        <f>B9*(B$13/B$7)^(1/6)</f>
        <v>3.7775580793516124E-2</v>
      </c>
      <c r="C10" s="85">
        <f>('Table 1.3.1'!$P10)/(1000*('Table 1.3.1'!N10))</f>
        <v>4.1797345330682981E-2</v>
      </c>
      <c r="D10" s="85">
        <f>('Table 1.3.1'!$E10+'Table 1.3.1'!$L10)/(1000*('Table 1.3.1'!D10+'Table 1.3.1'!J10))</f>
        <v>5.3598948718169941E-2</v>
      </c>
      <c r="E10" s="85">
        <f>'Table 1.3.1'!$E10/(1000*'Table 1.3.1'!C10)</f>
        <v>2.7894473531167658E-2</v>
      </c>
      <c r="F10" s="85">
        <f>'Table 1.3.1'!$E10/(1000*'Table 1.3.1'!D10)</f>
        <v>5.7429798446521643E-2</v>
      </c>
      <c r="G10" s="85">
        <f>'Table 1.3.1'!$L10/(1000*'Table 1.3.1'!F10)</f>
        <v>4.7728054232714361E-2</v>
      </c>
      <c r="H10" s="85">
        <f>'Table 1.3.1'!$L10/(1000*'Table 1.3.1'!G10)</f>
        <v>4.8373027938561852E-2</v>
      </c>
      <c r="I10" s="85">
        <f>'Table 1.3.1'!$L10/(1000*'Table 1.3.1'!H10)</f>
        <v>5.1878319818167783E-2</v>
      </c>
      <c r="J10" s="85">
        <f>'Table 1.3.1'!$L10/(1000*'Table 1.3.1'!J10)</f>
        <v>5.2641236286082013E-2</v>
      </c>
      <c r="K10" s="85">
        <f>'Table 1.3.3'!D10/'Table 1.3.3'!$B10</f>
        <v>4.5174537987679675E-2</v>
      </c>
      <c r="L10" s="85">
        <f>'Table 1.3.3'!C10/'Table 1.3.3'!$B10</f>
        <v>4.7227926078028754E-2</v>
      </c>
    </row>
    <row r="11" spans="1:12" ht="12.75" customHeight="1">
      <c r="A11" s="58">
        <v>1933</v>
      </c>
      <c r="B11" s="85">
        <f>B10*(B$13/B$7)^(1/6)</f>
        <v>3.8568432923653022E-2</v>
      </c>
      <c r="C11" s="85">
        <f>('Table 1.3.1'!$P11)/(1000*('Table 1.3.1'!N11))</f>
        <v>4.2836356004890268E-2</v>
      </c>
      <c r="D11" s="85">
        <f>('Table 1.3.1'!$E11+'Table 1.3.1'!$L11)/(1000*('Table 1.3.1'!D11+'Table 1.3.1'!J11))</f>
        <v>5.2462503421719542E-2</v>
      </c>
      <c r="E11" s="85">
        <f>'Table 1.3.1'!$E11/(1000*'Table 1.3.1'!C11)</f>
        <v>2.3205922076399724E-2</v>
      </c>
      <c r="F11" s="85">
        <f>'Table 1.3.1'!$E11/(1000*'Table 1.3.1'!D11)</f>
        <v>3.7486489508030324E-2</v>
      </c>
      <c r="G11" s="85">
        <f>'Table 1.3.1'!$L11/(1000*'Table 1.3.1'!F11)</f>
        <v>5.1312695518392362E-2</v>
      </c>
      <c r="H11" s="85">
        <f>'Table 1.3.1'!$L11/(1000*'Table 1.3.1'!G11)</f>
        <v>5.514200115409329E-2</v>
      </c>
      <c r="I11" s="85">
        <f>'Table 1.3.1'!$L11/(1000*'Table 1.3.1'!H11)</f>
        <v>5.4331089372415445E-2</v>
      </c>
      <c r="J11" s="85">
        <f>'Table 1.3.1'!$L11/(1000*'Table 1.3.1'!J11)</f>
        <v>5.8643080592448417E-2</v>
      </c>
      <c r="K11" s="85">
        <f>'Table 1.3.3'!D11/'Table 1.3.3'!$B11</f>
        <v>4.357298474945534E-2</v>
      </c>
      <c r="L11" s="85">
        <f>'Table 1.3.3'!C11/'Table 1.3.3'!$B11</f>
        <v>4.5751633986928109E-2</v>
      </c>
    </row>
    <row r="12" spans="1:12" ht="12.75" customHeight="1">
      <c r="A12" s="58">
        <v>1934</v>
      </c>
      <c r="B12" s="85">
        <f>B11*(B$13/B$7)^(1/6)</f>
        <v>3.937792581713645E-2</v>
      </c>
      <c r="C12" s="85">
        <f>('Table 1.3.1'!$P12)/(1000*('Table 1.3.1'!N12))</f>
        <v>3.725841171538604E-2</v>
      </c>
      <c r="D12" s="85">
        <f>('Table 1.3.1'!$E12+'Table 1.3.1'!$L12)/(1000*('Table 1.3.1'!D12+'Table 1.3.1'!J12))</f>
        <v>4.7587476349354452E-2</v>
      </c>
      <c r="E12" s="85">
        <f>'Table 1.3.1'!$E12/(1000*'Table 1.3.1'!C12)</f>
        <v>1.4985177806622776E-2</v>
      </c>
      <c r="F12" s="85">
        <f>'Table 1.3.1'!$E12/(1000*'Table 1.3.1'!D12)</f>
        <v>2.7829615926585161E-2</v>
      </c>
      <c r="G12" s="85">
        <f>'Table 1.3.1'!$L12/(1000*'Table 1.3.1'!F12)</f>
        <v>4.790373192317899E-2</v>
      </c>
      <c r="H12" s="85">
        <f>'Table 1.3.1'!$L12/(1000*'Table 1.3.1'!G12)</f>
        <v>5.9879664903973735E-2</v>
      </c>
      <c r="I12" s="85">
        <f>'Table 1.3.1'!$L12/(1000*'Table 1.3.1'!H12)</f>
        <v>4.6735348217735596E-2</v>
      </c>
      <c r="J12" s="85">
        <f>'Table 1.3.1'!$L12/(1000*'Table 1.3.1'!J12)</f>
        <v>5.8065129603853322E-2</v>
      </c>
      <c r="K12" s="85">
        <f>'Table 1.3.3'!D12/'Table 1.3.3'!$B12</f>
        <v>4.2718446601941754E-2</v>
      </c>
      <c r="L12" s="85">
        <f>'Table 1.3.3'!C12/'Table 1.3.3'!$B12</f>
        <v>4.4660194174757285E-2</v>
      </c>
    </row>
    <row r="13" spans="1:12" ht="12.75" customHeight="1">
      <c r="A13" s="58">
        <v>1935</v>
      </c>
      <c r="B13" s="85">
        <f>'Table 1.1'!B12/(1000*'Table 1.3.1'!B13)</f>
        <v>4.0204408738342738E-2</v>
      </c>
      <c r="C13" s="85">
        <f>('Table 1.3.1'!$P13)/(1000*('Table 1.3.1'!N13))</f>
        <v>3.6522743599412766E-2</v>
      </c>
      <c r="D13" s="85">
        <f>('Table 1.3.1'!$E13+'Table 1.3.1'!$L13)/(1000*('Table 1.3.1'!D13+'Table 1.3.1'!J13))</f>
        <v>4.5155392086546696E-2</v>
      </c>
      <c r="E13" s="85">
        <f>'Table 1.3.1'!$E13/(1000*'Table 1.3.1'!C13)</f>
        <v>1.4328728631052499E-2</v>
      </c>
      <c r="F13" s="85">
        <f>'Table 1.3.1'!$E13/(1000*'Table 1.3.1'!D13)</f>
        <v>2.4983424279783846E-2</v>
      </c>
      <c r="G13" s="85">
        <f>'Table 1.3.1'!$L13/(1000*'Table 1.3.1'!F13)</f>
        <v>4.6973406854218427E-2</v>
      </c>
      <c r="H13" s="85">
        <f>'Table 1.3.1'!$L13/(1000*'Table 1.3.1'!G13)</f>
        <v>5.8716758567773038E-2</v>
      </c>
      <c r="I13" s="85">
        <f>'Table 1.3.1'!$L13/(1000*'Table 1.3.1'!H13)</f>
        <v>4.5372040711460983E-2</v>
      </c>
      <c r="J13" s="85">
        <f>'Table 1.3.1'!$L13/(1000*'Table 1.3.1'!J13)</f>
        <v>5.6235768769134734E-2</v>
      </c>
      <c r="K13" s="85">
        <f>'Table 1.3.3'!D13/'Table 1.3.3'!$B13</f>
        <v>4.1144901610017888E-2</v>
      </c>
      <c r="L13" s="85">
        <f>'Table 1.3.3'!C13/'Table 1.3.3'!$B13</f>
        <v>4.4722719141323794E-2</v>
      </c>
    </row>
    <row r="14" spans="1:12" ht="12.75" customHeight="1">
      <c r="A14" s="58">
        <v>1936</v>
      </c>
      <c r="B14" s="85">
        <f>B13*(B$18/B$13)^(1/5)</f>
        <v>4.0046669560915585E-2</v>
      </c>
      <c r="C14" s="85">
        <f>('Table 1.3.1'!$P14)/(1000*('Table 1.3.1'!N14))</f>
        <v>3.1770515296489138E-2</v>
      </c>
      <c r="D14" s="85">
        <f>('Table 1.3.1'!$E14+'Table 1.3.1'!$L14)/(1000*('Table 1.3.1'!D14+'Table 1.3.1'!J14))</f>
        <v>4.2108540115187984E-2</v>
      </c>
      <c r="E14" s="85">
        <f>'Table 1.3.1'!$E14/(1000*'Table 1.3.1'!C14)</f>
        <v>1.1499103982647627E-2</v>
      </c>
      <c r="F14" s="85">
        <f>'Table 1.3.1'!$E14/(1000*'Table 1.3.1'!D14)</f>
        <v>2.1158351328071631E-2</v>
      </c>
      <c r="G14" s="85">
        <f>'Table 1.3.1'!$L14/(1000*'Table 1.3.1'!F14)</f>
        <v>5.1801932781830547E-2</v>
      </c>
      <c r="H14" s="85">
        <f>'Table 1.3.1'!$L14/(1000*'Table 1.3.1'!G14)</f>
        <v>5.6636779841468067E-2</v>
      </c>
      <c r="I14" s="85">
        <f>'Table 1.3.1'!$L14/(1000*'Table 1.3.1'!H14)</f>
        <v>5.1177813109760294E-2</v>
      </c>
      <c r="J14" s="85">
        <f>'Table 1.3.1'!$L14/(1000*'Table 1.3.1'!J14)</f>
        <v>5.5891559054080317E-2</v>
      </c>
      <c r="K14" s="85">
        <f>'Table 1.3.3'!D14/'Table 1.3.3'!$B14</f>
        <v>4.0192926045016078E-2</v>
      </c>
      <c r="L14" s="85">
        <f>'Table 1.3.3'!C14/'Table 1.3.3'!$B14</f>
        <v>4.3408360128617367E-2</v>
      </c>
    </row>
    <row r="15" spans="1:12" ht="12.75" customHeight="1">
      <c r="A15" s="58">
        <v>1937</v>
      </c>
      <c r="B15" s="85">
        <f>B14*(B$18/B$13)^(1/5)</f>
        <v>3.9889549262085981E-2</v>
      </c>
      <c r="C15" s="85">
        <f>('Table 1.3.1'!$P15)/(1000*('Table 1.3.1'!N15))</f>
        <v>3.6336696459509828E-2</v>
      </c>
      <c r="D15" s="85">
        <f>('Table 1.3.1'!$E15+'Table 1.3.1'!$L15)/(1000*('Table 1.3.1'!D15+'Table 1.3.1'!J15))</f>
        <v>3.7539898329030014E-2</v>
      </c>
      <c r="E15" s="85">
        <f>'Table 1.3.1'!$E15/(1000*'Table 1.3.1'!C15)</f>
        <v>1.472644344649175E-2</v>
      </c>
      <c r="F15" s="85">
        <f>'Table 1.3.1'!$E15/(1000*'Table 1.3.1'!D15)</f>
        <v>1.6409465554662234E-2</v>
      </c>
      <c r="G15" s="85">
        <f>'Table 1.3.1'!$L15/(1000*'Table 1.3.1'!F15)</f>
        <v>5.3174847751260891E-2</v>
      </c>
      <c r="H15" s="85">
        <f>'Table 1.3.1'!$L15/(1000*'Table 1.3.1'!G15)</f>
        <v>5.7946949472527896E-2</v>
      </c>
      <c r="I15" s="85">
        <f>'Table 1.3.1'!$L15/(1000*'Table 1.3.1'!H15)</f>
        <v>5.1362068850649728E-2</v>
      </c>
      <c r="J15" s="85">
        <f>'Table 1.3.1'!$L15/(1000*'Table 1.3.1'!J15)</f>
        <v>5.5800766158730558E-2</v>
      </c>
      <c r="K15" s="85">
        <f>'Table 1.3.3'!D15/'Table 1.3.3'!$B15</f>
        <v>4.0419161676646713E-2</v>
      </c>
      <c r="L15" s="85">
        <f>'Table 1.3.3'!C15/'Table 1.3.3'!$B15</f>
        <v>4.341317365269462E-2</v>
      </c>
    </row>
    <row r="16" spans="1:12" ht="12.75" customHeight="1">
      <c r="A16" s="58">
        <v>1938</v>
      </c>
      <c r="B16" s="85">
        <f>B15*(B$18/B$13)^(1/5)</f>
        <v>3.9733045413727165E-2</v>
      </c>
      <c r="C16" s="85">
        <f>('Table 1.3.1'!$P16)/(1000*('Table 1.3.1'!N16))</f>
        <v>3.501431716547003E-2</v>
      </c>
      <c r="D16" s="85">
        <f>('Table 1.3.1'!$E16+'Table 1.3.1'!$L16)/(1000*('Table 1.3.1'!D16+'Table 1.3.1'!J16))</f>
        <v>4.1207325643716416E-2</v>
      </c>
      <c r="E16" s="85">
        <f>'Table 1.3.1'!$E16/(1000*'Table 1.3.1'!C16)</f>
        <v>1.4172808533667262E-2</v>
      </c>
      <c r="F16" s="85">
        <f>'Table 1.3.1'!$E16/(1000*'Table 1.3.1'!D16)</f>
        <v>1.948761173379248E-2</v>
      </c>
      <c r="G16" s="85">
        <f>'Table 1.3.1'!$L16/(1000*'Table 1.3.1'!F16)</f>
        <v>5.2860106798501047E-2</v>
      </c>
      <c r="H16" s="85">
        <f>'Table 1.3.1'!$L16/(1000*'Table 1.3.1'!G16)</f>
        <v>5.6591408454865828E-2</v>
      </c>
      <c r="I16" s="85">
        <f>'Table 1.3.1'!$L16/(1000*'Table 1.3.1'!H16)</f>
        <v>5.4047974367006688E-2</v>
      </c>
      <c r="J16" s="85">
        <f>'Table 1.3.1'!$L16/(1000*'Table 1.3.1'!J16)</f>
        <v>5.7955056851368619E-2</v>
      </c>
      <c r="K16" s="85">
        <f>'Table 1.3.3'!D16/'Table 1.3.3'!$B16</f>
        <v>4.1990668740279943E-2</v>
      </c>
      <c r="L16" s="85">
        <f>'Table 1.3.3'!C16/'Table 1.3.3'!$B16</f>
        <v>4.5101088646967345E-2</v>
      </c>
    </row>
    <row r="17" spans="1:12" ht="12.75" customHeight="1">
      <c r="A17" s="58">
        <v>1939</v>
      </c>
      <c r="B17" s="85">
        <f>B16*(B$18/B$13)^(1/5)</f>
        <v>3.9577155597238962E-2</v>
      </c>
      <c r="C17" s="85">
        <f>('Table 1.3.1'!$P17)/(1000*('Table 1.3.1'!N17))</f>
        <v>3.480923574947449E-2</v>
      </c>
      <c r="D17" s="85">
        <f>('Table 1.3.1'!$E17+'Table 1.3.1'!$L17)/(1000*('Table 1.3.1'!D17+'Table 1.3.1'!J17))</f>
        <v>4.3163452329348366E-2</v>
      </c>
      <c r="E17" s="85">
        <f>'Table 1.3.1'!$E17/(1000*'Table 1.3.1'!C17)</f>
        <v>1.3961064053704106E-2</v>
      </c>
      <c r="F17" s="85">
        <f>'Table 1.3.1'!$E17/(1000*'Table 1.3.1'!D17)</f>
        <v>2.0518533533474215E-2</v>
      </c>
      <c r="G17" s="85">
        <f>'Table 1.3.1'!$L17/(1000*'Table 1.3.1'!F17)</f>
        <v>5.224790445094854E-2</v>
      </c>
      <c r="H17" s="85">
        <f>'Table 1.3.1'!$L17/(1000*'Table 1.3.1'!G17)</f>
        <v>5.7531400406662436E-2</v>
      </c>
      <c r="I17" s="85">
        <f>'Table 1.3.1'!$L17/(1000*'Table 1.3.1'!H17)</f>
        <v>5.5056931571967282E-2</v>
      </c>
      <c r="J17" s="85">
        <f>'Table 1.3.1'!$L17/(1000*'Table 1.3.1'!J17)</f>
        <v>6.095588852610663E-2</v>
      </c>
      <c r="K17" s="85">
        <f>'Table 1.3.3'!D17/'Table 1.3.3'!$B17</f>
        <v>4.1666666666666664E-2</v>
      </c>
      <c r="L17" s="85">
        <f>'Table 1.3.3'!C17/'Table 1.3.3'!$B17</f>
        <v>4.4642857142857144E-2</v>
      </c>
    </row>
    <row r="18" spans="1:12" ht="18" customHeight="1">
      <c r="A18" s="58">
        <v>1940</v>
      </c>
      <c r="B18" s="85">
        <f>'Table 1.1'!B17/(1000*'Table 1.3.1'!B18)</f>
        <v>3.9421877403510386E-2</v>
      </c>
      <c r="C18" s="85">
        <f>('Table 1.3.1'!$P18)/(1000*('Table 1.3.1'!N18))</f>
        <v>3.5838419463302941E-2</v>
      </c>
      <c r="D18" s="85">
        <f>('Table 1.3.1'!$E18+'Table 1.3.1'!$L18)/(1000*('Table 1.3.1'!D18+'Table 1.3.1'!J18))</f>
        <v>3.9957778022303277E-2</v>
      </c>
      <c r="E18" s="85">
        <f>'Table 1.3.1'!$E18/(1000*'Table 1.3.1'!C18)</f>
        <v>1.4379185657762812E-2</v>
      </c>
      <c r="F18" s="85">
        <f>'Table 1.3.1'!$E18/(1000*'Table 1.3.1'!D18)</f>
        <v>1.7593356569498026E-2</v>
      </c>
      <c r="G18" s="85">
        <f>'Table 1.3.1'!$L18/(1000*'Table 1.3.1'!F18)</f>
        <v>5.625998007704576E-2</v>
      </c>
      <c r="H18" s="85">
        <f>'Table 1.3.1'!$L18/(1000*'Table 1.3.1'!G18)</f>
        <v>6.0635756305260427E-2</v>
      </c>
      <c r="I18" s="85">
        <f>'Table 1.3.1'!$L18/(1000*'Table 1.3.1'!H18)</f>
        <v>5.6846021536181651E-2</v>
      </c>
      <c r="J18" s="85">
        <f>'Table 1.3.1'!$L18/(1000*'Table 1.3.1'!J18)</f>
        <v>6.1317056937903805E-2</v>
      </c>
      <c r="K18" s="85">
        <f>'Table 1.3.3'!D18/'Table 1.3.3'!$B18</f>
        <v>4.2075736325385693E-2</v>
      </c>
      <c r="L18" s="85">
        <f>'Table 1.3.3'!C18/'Table 1.3.3'!$B18</f>
        <v>4.6283309957924262E-2</v>
      </c>
    </row>
    <row r="19" spans="1:12" ht="12.75" customHeight="1">
      <c r="A19" s="58">
        <v>1941</v>
      </c>
      <c r="B19" s="85">
        <f>B18*(B$27/B$18)^(1/9)</f>
        <v>3.9822116207522448E-2</v>
      </c>
      <c r="C19" s="85">
        <f>('Table 1.3.1'!$P19)/(1000*('Table 1.3.1'!N19))</f>
        <v>2.5602260998647933E-2</v>
      </c>
      <c r="D19" s="85">
        <f>('Table 1.3.1'!$E19+'Table 1.3.1'!$L19)/(1000*('Table 1.3.1'!D19+'Table 1.3.1'!J19))</f>
        <v>3.2028739467944177E-2</v>
      </c>
      <c r="E19" s="85">
        <f>'Table 1.3.1'!$E19/(1000*'Table 1.3.1'!C19)</f>
        <v>8.2795353873643535E-3</v>
      </c>
      <c r="F19" s="85">
        <f>'Table 1.3.1'!$E19/(1000*'Table 1.3.1'!D19)</f>
        <v>1.1959328892859621E-2</v>
      </c>
      <c r="G19" s="85">
        <f>'Table 1.3.1'!$L19/(1000*'Table 1.3.1'!F19)</f>
        <v>6.4694907744411598E-2</v>
      </c>
      <c r="H19" s="85">
        <f>'Table 1.3.1'!$L19/(1000*'Table 1.3.1'!G19)</f>
        <v>6.9105924181530567E-2</v>
      </c>
      <c r="I19" s="85">
        <f>'Table 1.3.1'!$L19/(1000*'Table 1.3.1'!H19)</f>
        <v>6.0813213279746904E-2</v>
      </c>
      <c r="J19" s="85">
        <f>'Table 1.3.1'!$L19/(1000*'Table 1.3.1'!J19)</f>
        <v>6.4694907744411598E-2</v>
      </c>
      <c r="K19" s="85">
        <f>'Table 1.3.3'!D19/'Table 1.3.3'!$B19</f>
        <v>3.945745992601727E-2</v>
      </c>
      <c r="L19" s="85">
        <f>'Table 1.3.3'!C19/'Table 1.3.3'!$B19</f>
        <v>4.3156596794081382E-2</v>
      </c>
    </row>
    <row r="20" spans="1:12" ht="12.75" customHeight="1">
      <c r="A20" s="58">
        <v>1942</v>
      </c>
      <c r="B20" s="85">
        <f t="shared" ref="B20:B26" si="0">B19*(B$27/B$18)^(1/9)</f>
        <v>4.0226418519180206E-2</v>
      </c>
      <c r="C20" s="85">
        <f>('Table 1.3.1'!$P20)/(1000*('Table 1.3.1'!N20))</f>
        <v>1.3379369907912156E-2</v>
      </c>
      <c r="D20" s="85">
        <f>('Table 1.3.1'!$E20+'Table 1.3.1'!$L20)/(1000*('Table 1.3.1'!D20+'Table 1.3.1'!J20))</f>
        <v>2.8005264962524198E-2</v>
      </c>
      <c r="E20" s="85">
        <f>'Table 1.3.1'!$E20/(1000*'Table 1.3.1'!C20)</f>
        <v>3.7970209555134183E-3</v>
      </c>
      <c r="F20" s="85">
        <f>'Table 1.3.1'!$E20/(1000*'Table 1.3.1'!D20)</f>
        <v>9.8689090914225418E-3</v>
      </c>
      <c r="G20" s="85">
        <f>'Table 1.3.1'!$L20/(1000*'Table 1.3.1'!F20)</f>
        <v>7.4477504990987639E-2</v>
      </c>
      <c r="H20" s="85">
        <f>'Table 1.3.1'!$L20/(1000*'Table 1.3.1'!G20)</f>
        <v>8.0683963740236619E-2</v>
      </c>
      <c r="I20" s="85">
        <f>'Table 1.3.1'!$L20/(1000*'Table 1.3.1'!H20)</f>
        <v>6.6445617197841922E-2</v>
      </c>
      <c r="J20" s="85">
        <f>'Table 1.3.1'!$L20/(1000*'Table 1.3.1'!J20)</f>
        <v>7.1341610043998693E-2</v>
      </c>
      <c r="K20" s="85">
        <f>'Table 1.3.3'!D20/'Table 1.3.3'!$B20</f>
        <v>4.0449438202247195E-2</v>
      </c>
      <c r="L20" s="85">
        <f>'Table 1.3.3'!C20/'Table 1.3.3'!$B20</f>
        <v>4.49438202247191E-2</v>
      </c>
    </row>
    <row r="21" spans="1:12" ht="12.75" customHeight="1">
      <c r="A21" s="58">
        <v>1943</v>
      </c>
      <c r="B21" s="85">
        <f t="shared" si="0"/>
        <v>4.0634825594089624E-2</v>
      </c>
      <c r="C21" s="85">
        <f>('Table 1.3.1'!$P21)/(1000*('Table 1.3.1'!N21))</f>
        <v>1.0562983290045921E-2</v>
      </c>
      <c r="D21" s="85">
        <f>('Table 1.3.1'!$E21+'Table 1.3.1'!$L21)/(1000*('Table 1.3.1'!D21+'Table 1.3.1'!J21))</f>
        <v>2.1191170180647687E-2</v>
      </c>
      <c r="E21" s="85">
        <f>'Table 1.3.1'!$E21/(1000*'Table 1.3.1'!C21)</f>
        <v>3.0633570756651821E-3</v>
      </c>
      <c r="F21" s="85">
        <f>'Table 1.3.1'!$E21/(1000*'Table 1.3.1'!D21)</f>
        <v>7.0559587141285421E-3</v>
      </c>
      <c r="G21" s="85">
        <f>'Table 1.3.1'!$L21/(1000*'Table 1.3.1'!F21)</f>
        <v>8.6829204229870935E-2</v>
      </c>
      <c r="H21" s="85">
        <f>'Table 1.3.1'!$L21/(1000*'Table 1.3.1'!G21)</f>
        <v>9.562203503795913E-2</v>
      </c>
      <c r="I21" s="85">
        <f>'Table 1.3.1'!$L21/(1000*'Table 1.3.1'!H21)</f>
        <v>7.1944197790464487E-2</v>
      </c>
      <c r="J21" s="85">
        <f>'Table 1.3.1'!$L21/(1000*'Table 1.3.1'!J21)</f>
        <v>7.7877739876275984E-2</v>
      </c>
      <c r="K21" s="85">
        <f>'Table 1.3.3'!D21/'Table 1.3.3'!$B21</f>
        <v>4.004004004004004E-2</v>
      </c>
      <c r="L21" s="85">
        <f>'Table 1.3.3'!C21/'Table 1.3.3'!$B21</f>
        <v>4.5045045045045043E-2</v>
      </c>
    </row>
    <row r="22" spans="1:12" ht="12.75" customHeight="1">
      <c r="A22" s="58">
        <v>1944</v>
      </c>
      <c r="B22" s="85">
        <f t="shared" si="0"/>
        <v>4.1047379106712766E-2</v>
      </c>
      <c r="C22" s="85">
        <f>('Table 1.3.1'!$P22)/(1000*('Table 1.3.1'!N22))</f>
        <v>1.1005400729554422E-2</v>
      </c>
      <c r="D22" s="85">
        <f>('Table 1.3.1'!$E22+'Table 1.3.1'!$L22)/(1000*('Table 1.3.1'!D22+'Table 1.3.1'!J22))</f>
        <v>2.3294039884096417E-2</v>
      </c>
      <c r="E22" s="85">
        <f>'Table 1.3.1'!$E22/(1000*'Table 1.3.1'!C22)</f>
        <v>3.3963495153120633E-3</v>
      </c>
      <c r="F22" s="85">
        <f>'Table 1.3.1'!$E22/(1000*'Table 1.3.1'!D22)</f>
        <v>8.2901043588035836E-3</v>
      </c>
      <c r="G22" s="85">
        <f>'Table 1.3.1'!$L22/(1000*'Table 1.3.1'!F22)</f>
        <v>9.5693202405437855E-2</v>
      </c>
      <c r="H22" s="85">
        <f>'Table 1.3.1'!$L22/(1000*'Table 1.3.1'!G22)</f>
        <v>0.10526252264598165</v>
      </c>
      <c r="I22" s="85">
        <f>'Table 1.3.1'!$L22/(1000*'Table 1.3.1'!H22)</f>
        <v>7.7972238997023449E-2</v>
      </c>
      <c r="J22" s="85">
        <f>'Table 1.3.1'!$L22/(1000*'Table 1.3.1'!J22)</f>
        <v>8.4210018116785315E-2</v>
      </c>
      <c r="K22" s="85">
        <f>'Table 1.3.3'!D22/'Table 1.3.3'!$B22</f>
        <v>4.1436464088397795E-2</v>
      </c>
      <c r="L22" s="85">
        <f>'Table 1.3.3'!C22/'Table 1.3.3'!$B22</f>
        <v>4.6040515653775323E-2</v>
      </c>
    </row>
    <row r="23" spans="1:12" ht="12.75" customHeight="1">
      <c r="A23" s="58">
        <v>1945</v>
      </c>
      <c r="B23" s="85">
        <f t="shared" si="0"/>
        <v>4.1464121154620344E-2</v>
      </c>
      <c r="C23" s="85">
        <f>('Table 1.3.1'!$P23)/(1000*('Table 1.3.1'!N23))</f>
        <v>1.3867027964005813E-2</v>
      </c>
      <c r="D23" s="85">
        <f>('Table 1.3.1'!$E23+'Table 1.3.1'!$L23)/(1000*('Table 1.3.1'!D23+'Table 1.3.1'!J23))</f>
        <v>2.5655317390712841E-2</v>
      </c>
      <c r="E23" s="85">
        <f>'Table 1.3.1'!$E23/(1000*'Table 1.3.1'!C23)</f>
        <v>4.6472897940662882E-3</v>
      </c>
      <c r="F23" s="85">
        <f>'Table 1.3.1'!$E23/(1000*'Table 1.3.1'!D23)</f>
        <v>9.7901436656988861E-3</v>
      </c>
      <c r="G23" s="85">
        <f>'Table 1.3.1'!$L23/(1000*'Table 1.3.1'!F23)</f>
        <v>9.9882038701922735E-2</v>
      </c>
      <c r="H23" s="85">
        <f>'Table 1.3.1'!$L23/(1000*'Table 1.3.1'!G23)</f>
        <v>0.10917339113931089</v>
      </c>
      <c r="I23" s="85">
        <f>'Table 1.3.1'!$L23/(1000*'Table 1.3.1'!H23)</f>
        <v>8.3087713610448991E-2</v>
      </c>
      <c r="J23" s="85">
        <f>'Table 1.3.1'!$L23/(1000*'Table 1.3.1'!J23)</f>
        <v>8.941820607600702E-2</v>
      </c>
      <c r="K23" s="85">
        <f>'Table 1.3.3'!D23/'Table 1.3.3'!$B23</f>
        <v>0.04</v>
      </c>
      <c r="L23" s="85">
        <f>'Table 1.3.3'!C23/'Table 1.3.3'!$B23</f>
        <v>4.4166666666666667E-2</v>
      </c>
    </row>
    <row r="24" spans="1:12" ht="12.75" customHeight="1">
      <c r="A24" s="58">
        <v>1946</v>
      </c>
      <c r="B24" s="85">
        <f t="shared" si="0"/>
        <v>4.1885094262787401E-2</v>
      </c>
      <c r="C24" s="85">
        <f>('Table 1.3.1'!$P24)/(1000*('Table 1.3.1'!N24))</f>
        <v>3.0072447508381082E-2</v>
      </c>
      <c r="D24" s="85">
        <f>('Table 1.3.1'!$E24+'Table 1.3.1'!$L24)/(1000*('Table 1.3.1'!D24+'Table 1.3.1'!J24))</f>
        <v>2.9898952618909652E-2</v>
      </c>
      <c r="E24" s="85">
        <f>'Table 1.3.1'!$E24/(1000*'Table 1.3.1'!C24)</f>
        <v>1.2444227083960525E-2</v>
      </c>
      <c r="F24" s="85">
        <f>'Table 1.3.1'!$E24/(1000*'Table 1.3.1'!D24)</f>
        <v>1.2629961816556953E-2</v>
      </c>
      <c r="G24" s="85">
        <f>'Table 1.3.1'!$L24/(1000*'Table 1.3.1'!F24)</f>
        <v>8.8730599250653588E-2</v>
      </c>
      <c r="H24" s="85">
        <f>'Table 1.3.1'!$L24/(1000*'Table 1.3.1'!G24)</f>
        <v>9.6056979005294724E-2</v>
      </c>
      <c r="I24" s="85">
        <f>'Table 1.3.1'!$L24/(1000*'Table 1.3.1'!H24)</f>
        <v>8.2442604028166333E-2</v>
      </c>
      <c r="J24" s="85">
        <f>'Table 1.3.1'!$L24/(1000*'Table 1.3.1'!J24)</f>
        <v>8.8730599250653602E-2</v>
      </c>
      <c r="K24" s="85">
        <f>'Table 1.3.3'!D24/'Table 1.3.3'!$B24</f>
        <v>4.0887040887040885E-2</v>
      </c>
      <c r="L24" s="85">
        <f>'Table 1.3.3'!C24/'Table 1.3.3'!$B24</f>
        <v>4.5045045045045043E-2</v>
      </c>
    </row>
    <row r="25" spans="1:12" ht="12.75" customHeight="1">
      <c r="A25" s="58">
        <v>1947</v>
      </c>
      <c r="B25" s="85">
        <f t="shared" si="0"/>
        <v>4.2310341387932632E-2</v>
      </c>
      <c r="C25" s="85">
        <f>('Table 1.3.1'!$P25)/(1000*('Table 1.3.1'!N25))</f>
        <v>3.7426186004556258E-2</v>
      </c>
      <c r="D25" s="85">
        <f>('Table 1.3.1'!$E25+'Table 1.3.1'!$L25)/(1000*('Table 1.3.1'!D25+'Table 1.3.1'!J25))</f>
        <v>3.1396047453909712E-2</v>
      </c>
      <c r="E25" s="85">
        <f>'Table 1.3.1'!$E25/(1000*'Table 1.3.1'!C25)</f>
        <v>1.8540604857805058E-2</v>
      </c>
      <c r="F25" s="85">
        <f>'Table 1.3.1'!$E25/(1000*'Table 1.3.1'!D25)</f>
        <v>1.4330696874037391E-2</v>
      </c>
      <c r="G25" s="85">
        <f>'Table 1.3.1'!$L25/(1000*'Table 1.3.1'!F25)</f>
        <v>7.6835258283566715E-2</v>
      </c>
      <c r="H25" s="85">
        <f>'Table 1.3.1'!$L25/(1000*'Table 1.3.1'!G25)</f>
        <v>8.2246191965508045E-2</v>
      </c>
      <c r="I25" s="85">
        <f>'Table 1.3.1'!$L25/(1000*'Table 1.3.1'!H25)</f>
        <v>8.0544546614497531E-2</v>
      </c>
      <c r="J25" s="85">
        <f>'Table 1.3.1'!$L25/(1000*'Table 1.3.1'!J25)</f>
        <v>8.6510809326682536E-2</v>
      </c>
      <c r="K25" s="85">
        <f>'Table 1.3.3'!D25/'Table 1.3.3'!$B25</f>
        <v>4.0740740740740737E-2</v>
      </c>
      <c r="L25" s="85">
        <f>'Table 1.3.3'!C25/'Table 1.3.3'!$B25</f>
        <v>4.5061728395061729E-2</v>
      </c>
    </row>
    <row r="26" spans="1:12" ht="12.75" customHeight="1">
      <c r="A26" s="58">
        <v>1948</v>
      </c>
      <c r="B26" s="85">
        <f t="shared" si="0"/>
        <v>4.2739905922901743E-2</v>
      </c>
      <c r="C26" s="85">
        <f>('Table 1.3.1'!$P26)/(1000*('Table 1.3.1'!N26))</f>
        <v>3.7902816308937118E-2</v>
      </c>
      <c r="D26" s="85">
        <f>('Table 1.3.1'!$E26+'Table 1.3.1'!$L26)/(1000*('Table 1.3.1'!D26+'Table 1.3.1'!J26))</f>
        <v>3.5320000887544473E-2</v>
      </c>
      <c r="E26" s="85">
        <f>'Table 1.3.1'!$E26/(1000*'Table 1.3.1'!C26)</f>
        <v>2.0374562105433449E-2</v>
      </c>
      <c r="F26" s="85">
        <f>'Table 1.3.1'!$E26/(1000*'Table 1.3.1'!D26)</f>
        <v>1.7786569228299871E-2</v>
      </c>
      <c r="G26" s="85">
        <f>'Table 1.3.1'!$L26/(1000*'Table 1.3.1'!F26)</f>
        <v>7.120904942696589E-2</v>
      </c>
      <c r="H26" s="85">
        <f>'Table 1.3.1'!$L26/(1000*'Table 1.3.1'!G26)</f>
        <v>7.7108023935708606E-2</v>
      </c>
      <c r="I26" s="85">
        <f>'Table 1.3.1'!$L26/(1000*'Table 1.3.1'!H26)</f>
        <v>7.7567000268659272E-2</v>
      </c>
      <c r="J26" s="85">
        <f>'Table 1.3.1'!$L26/(1000*'Table 1.3.1'!J26)</f>
        <v>8.4618545747628296E-2</v>
      </c>
      <c r="K26" s="85">
        <f>'Table 1.3.3'!D26/'Table 1.3.3'!$B26</f>
        <v>4.3428571428571427E-2</v>
      </c>
      <c r="L26" s="85">
        <f>'Table 1.3.3'!C26/'Table 1.3.3'!$B26</f>
        <v>4.8000000000000001E-2</v>
      </c>
    </row>
    <row r="27" spans="1:12" ht="12.75" customHeight="1">
      <c r="A27" s="58">
        <v>1949</v>
      </c>
      <c r="B27" s="85">
        <f>'Table 1.1'!B26/(1000*'Table 1.3.1'!B27)</f>
        <v>4.3173831701095303E-2</v>
      </c>
      <c r="C27" s="85">
        <f>('Table 1.3.1'!$P27)/(1000*('Table 1.3.1'!N27))</f>
        <v>3.9901664038871194E-2</v>
      </c>
      <c r="D27" s="85">
        <f>('Table 1.3.1'!$E27+'Table 1.3.1'!$L27)/(1000*('Table 1.3.1'!D27+'Table 1.3.1'!J27))</f>
        <v>4.6300309263122605E-2</v>
      </c>
      <c r="E27" s="85">
        <f>'Table 1.3.1'!$E27/(1000*'Table 1.3.1'!C27)</f>
        <v>2.1431461878929164E-2</v>
      </c>
      <c r="F27" s="85">
        <f>'Table 1.3.1'!$E27/(1000*'Table 1.3.1'!D27)</f>
        <v>2.5040386806728113E-2</v>
      </c>
      <c r="G27" s="85">
        <f>'Table 1.3.1'!$L27/(1000*'Table 1.3.1'!F27)</f>
        <v>7.5976693524341193E-2</v>
      </c>
      <c r="H27" s="85">
        <f>'Table 1.3.1'!$L27/(1000*'Table 1.3.1'!G27)</f>
        <v>8.3062602764953336E-2</v>
      </c>
      <c r="I27" s="85">
        <f>'Table 1.3.1'!$L27/(1000*'Table 1.3.1'!H27)</f>
        <v>8.5727713014096221E-2</v>
      </c>
      <c r="J27" s="85">
        <f>'Table 1.3.1'!$L27/(1000*'Table 1.3.1'!J27)</f>
        <v>9.4858475346958543E-2</v>
      </c>
      <c r="K27" s="85">
        <f>'Table 1.3.3'!D27/'Table 1.3.3'!$B27</f>
        <v>4.4257703081232495E-2</v>
      </c>
      <c r="L27" s="85">
        <f>'Table 1.3.3'!C27/'Table 1.3.3'!$B27</f>
        <v>4.8739495798319335E-2</v>
      </c>
    </row>
    <row r="28" spans="1:12" ht="18" customHeight="1">
      <c r="A28" s="58">
        <v>1950</v>
      </c>
      <c r="B28" s="85">
        <f>'Table 1.1'!B27/(1000*'Table 1.3.1'!B28)</f>
        <v>4.2913907760352948E-2</v>
      </c>
      <c r="C28" s="85">
        <f>('Table 1.3.1'!$P28)/(1000*('Table 1.3.1'!N28))</f>
        <v>4.4479046390917029E-2</v>
      </c>
      <c r="D28" s="85">
        <f>('Table 1.3.1'!$E28+'Table 1.3.1'!$L28)/(1000*('Table 1.3.1'!D28+'Table 1.3.1'!J28))</f>
        <v>4.4282815303898278E-2</v>
      </c>
      <c r="E28" s="85">
        <f>'Table 1.3.1'!$E28/(1000*'Table 1.3.1'!C28)</f>
        <v>2.5679867485519099E-2</v>
      </c>
      <c r="F28" s="85">
        <f>'Table 1.3.1'!$E28/(1000*'Table 1.3.1'!D28)</f>
        <v>2.3912427213236408E-2</v>
      </c>
      <c r="G28" s="85">
        <f>'Table 1.3.1'!$L28/(1000*'Table 1.3.1'!F28)</f>
        <v>7.7870533460902308E-2</v>
      </c>
      <c r="H28" s="85">
        <f>'Table 1.3.1'!$L28/(1000*'Table 1.3.1'!G28)</f>
        <v>8.4329840383926463E-2</v>
      </c>
      <c r="I28" s="85">
        <f>'Table 1.3.1'!$L28/(1000*'Table 1.3.1'!H28)</f>
        <v>8.9703800800549224E-2</v>
      </c>
      <c r="J28" s="85">
        <f>'Table 1.3.1'!$L28/(1000*'Table 1.3.1'!J28)</f>
        <v>9.8384813781247554E-2</v>
      </c>
      <c r="K28" s="85">
        <f>'Table 1.3.3'!D28/'Table 1.3.3'!$B28</f>
        <v>4.422476586888658E-2</v>
      </c>
      <c r="L28" s="85">
        <f>'Table 1.3.3'!C28/'Table 1.3.3'!$B28</f>
        <v>4.8387096774193554E-2</v>
      </c>
    </row>
    <row r="29" spans="1:12" ht="12.75" customHeight="1">
      <c r="A29" s="58">
        <v>1951</v>
      </c>
      <c r="B29" s="85">
        <f>'Table 1.1'!B28/(1000*'Table 1.3.1'!B29)</f>
        <v>4.0990333829705031E-2</v>
      </c>
      <c r="C29" s="85">
        <f>('Table 1.3.1'!$P29)/(1000*('Table 1.3.1'!N29))</f>
        <v>3.8242498071036198E-2</v>
      </c>
      <c r="D29" s="85">
        <f>('Table 1.3.1'!$E29+'Table 1.3.1'!$L29)/(1000*('Table 1.3.1'!D29+'Table 1.3.1'!J29))</f>
        <v>3.9562774790155304E-2</v>
      </c>
      <c r="E29" s="85">
        <f>'Table 1.3.1'!$E29/(1000*'Table 1.3.1'!C29)</f>
        <v>2.0465238725728002E-2</v>
      </c>
      <c r="F29" s="85">
        <f>'Table 1.3.1'!$E29/(1000*'Table 1.3.1'!D29)</f>
        <v>2.0593950918971576E-2</v>
      </c>
      <c r="G29" s="85">
        <f>'Table 1.3.1'!$L29/(1000*'Table 1.3.1'!F29)</f>
        <v>8.0863365619536276E-2</v>
      </c>
      <c r="H29" s="85">
        <f>'Table 1.3.1'!$L29/(1000*'Table 1.3.1'!G29)</f>
        <v>8.7925668293731593E-2</v>
      </c>
      <c r="I29" s="85">
        <f>'Table 1.3.1'!$L29/(1000*'Table 1.3.1'!H29)</f>
        <v>8.988829481814524E-2</v>
      </c>
      <c r="J29" s="85">
        <f>'Table 1.3.1'!$L29/(1000*'Table 1.3.1'!J29)</f>
        <v>9.8700872741492807E-2</v>
      </c>
      <c r="K29" s="85">
        <f>'Table 1.3.3'!D29/'Table 1.3.3'!$B29</f>
        <v>4.4604316546762592E-2</v>
      </c>
      <c r="L29" s="85">
        <f>'Table 1.3.3'!C29/'Table 1.3.3'!$B29</f>
        <v>4.8920863309352525E-2</v>
      </c>
    </row>
    <row r="30" spans="1:12" ht="12.75" customHeight="1">
      <c r="A30" s="58">
        <v>1952</v>
      </c>
      <c r="B30" s="85">
        <f>'Table 1.1'!B29/(1000*'Table 1.3.1'!B30)</f>
        <v>4.1472144844759896E-2</v>
      </c>
      <c r="C30" s="85">
        <f>('Table 1.3.1'!$P30)/(1000*('Table 1.3.1'!N30))</f>
        <v>3.5419289947373707E-2</v>
      </c>
      <c r="D30" s="85">
        <f>('Table 1.3.1'!$E30+'Table 1.3.1'!$L30)/(1000*('Table 1.3.1'!D30+'Table 1.3.1'!J30))</f>
        <v>4.0610392194452172E-2</v>
      </c>
      <c r="E30" s="85">
        <f>'Table 1.3.1'!$E30/(1000*'Table 1.3.1'!C30)</f>
        <v>1.8574669846433356E-2</v>
      </c>
      <c r="F30" s="85">
        <f>'Table 1.3.1'!$E30/(1000*'Table 1.3.1'!D30)</f>
        <v>2.1558888575514995E-2</v>
      </c>
      <c r="G30" s="85">
        <f>'Table 1.3.1'!$L30/(1000*'Table 1.3.1'!F30)</f>
        <v>8.1747917302588985E-2</v>
      </c>
      <c r="H30" s="85">
        <f>'Table 1.3.1'!$L30/(1000*'Table 1.3.1'!G30)</f>
        <v>8.8783598709779019E-2</v>
      </c>
      <c r="I30" s="85">
        <f>'Table 1.3.1'!$L30/(1000*'Table 1.3.1'!H30)</f>
        <v>8.9517347459446617E-2</v>
      </c>
      <c r="J30" s="85">
        <f>'Table 1.3.1'!$L30/(1000*'Table 1.3.1'!J30)</f>
        <v>9.8023520747448356E-2</v>
      </c>
      <c r="K30" s="85">
        <f>'Table 1.3.3'!D30/'Table 1.3.3'!$B30</f>
        <v>4.6013667425968109E-2</v>
      </c>
      <c r="L30" s="85">
        <f>'Table 1.3.3'!C30/'Table 1.3.3'!$B30</f>
        <v>5.0569476082004551E-2</v>
      </c>
    </row>
    <row r="31" spans="1:12" ht="12.75" customHeight="1">
      <c r="A31" s="58">
        <v>1953</v>
      </c>
      <c r="B31" s="85">
        <f>'Table 1.1'!B30/(1000*'Table 1.3.1'!B31)</f>
        <v>4.1107276223431882E-2</v>
      </c>
      <c r="C31" s="85">
        <f>('Table 1.3.1'!$P31)/(1000*('Table 1.3.1'!N31))</f>
        <v>3.5322889276981774E-2</v>
      </c>
      <c r="D31" s="85">
        <f>('Table 1.3.1'!$E31+'Table 1.3.1'!$L31)/(1000*('Table 1.3.1'!D31+'Table 1.3.1'!J31))</f>
        <v>4.1260462742170358E-2</v>
      </c>
      <c r="E31" s="85">
        <f>'Table 1.3.1'!$E31/(1000*'Table 1.3.1'!C31)</f>
        <v>1.8832800800054207E-2</v>
      </c>
      <c r="F31" s="85">
        <f>'Table 1.3.1'!$E31/(1000*'Table 1.3.1'!D31)</f>
        <v>2.2463873184525088E-2</v>
      </c>
      <c r="G31" s="85">
        <f>'Table 1.3.1'!$L31/(1000*'Table 1.3.1'!F31)</f>
        <v>8.0721409640641478E-2</v>
      </c>
      <c r="H31" s="85">
        <f>'Table 1.3.1'!$L31/(1000*'Table 1.3.1'!G31)</f>
        <v>8.7499543274588476E-2</v>
      </c>
      <c r="I31" s="85">
        <f>'Table 1.3.1'!$L31/(1000*'Table 1.3.1'!H31)</f>
        <v>8.7834790566828289E-2</v>
      </c>
      <c r="J31" s="85">
        <f>'Table 1.3.1'!$L31/(1000*'Table 1.3.1'!J31)</f>
        <v>9.5920001413984005E-2</v>
      </c>
      <c r="K31" s="85">
        <f>'Table 1.3.3'!D31/'Table 1.3.3'!$B31</f>
        <v>4.7210300429184553E-2</v>
      </c>
      <c r="L31" s="85">
        <f>'Table 1.3.3'!C31/'Table 1.3.3'!$B31</f>
        <v>5.2360515021459227E-2</v>
      </c>
    </row>
    <row r="32" spans="1:12" ht="12.75" customHeight="1">
      <c r="A32" s="58">
        <v>1954</v>
      </c>
      <c r="B32" s="85">
        <f>'Table 1.1'!B31/(1000*'Table 1.3.1'!B32)</f>
        <v>4.3702074822828792E-2</v>
      </c>
      <c r="C32" s="85">
        <f>('Table 1.3.1'!$P32)/(1000*('Table 1.3.1'!N32))</f>
        <v>3.8973078200853169E-2</v>
      </c>
      <c r="D32" s="85">
        <f>('Table 1.3.1'!$E32+'Table 1.3.1'!$L32)/(1000*('Table 1.3.1'!D32+'Table 1.3.1'!J32))</f>
        <v>4.6653583476922209E-2</v>
      </c>
      <c r="E32" s="85">
        <f>'Table 1.3.1'!$E32/(1000*'Table 1.3.1'!C32)</f>
        <v>2.2112427776152795E-2</v>
      </c>
      <c r="F32" s="85">
        <f>'Table 1.3.1'!$E32/(1000*'Table 1.3.1'!D32)</f>
        <v>2.6890665323996536E-2</v>
      </c>
      <c r="G32" s="85">
        <f>'Table 1.3.1'!$L32/(1000*'Table 1.3.1'!F32)</f>
        <v>7.7642357681825216E-2</v>
      </c>
      <c r="H32" s="85">
        <f>'Table 1.3.1'!$L32/(1000*'Table 1.3.1'!G32)</f>
        <v>8.3492124356483288E-2</v>
      </c>
      <c r="I32" s="85">
        <f>'Table 1.3.1'!$L32/(1000*'Table 1.3.1'!H32)</f>
        <v>8.8332247507583769E-2</v>
      </c>
      <c r="J32" s="85">
        <f>'Table 1.3.1'!$L32/(1000*'Table 1.3.1'!J32)</f>
        <v>9.5983072094854779E-2</v>
      </c>
      <c r="K32" s="85">
        <f>'Table 1.3.3'!D32/'Table 1.3.3'!$B32</f>
        <v>4.9604001667361404E-2</v>
      </c>
      <c r="L32" s="85">
        <f>'Table 1.3.3'!C32/'Table 1.3.3'!$B32</f>
        <v>5.5022926219258028E-2</v>
      </c>
    </row>
    <row r="33" spans="1:12" ht="12.75" customHeight="1">
      <c r="A33" s="58">
        <v>1955</v>
      </c>
      <c r="B33" s="85">
        <f>'Table 1.1'!B32/(1000*'Table 1.3.1'!B33)</f>
        <v>4.2361272784280334E-2</v>
      </c>
      <c r="C33" s="85">
        <f>('Table 1.3.1'!$P33)/(1000*('Table 1.3.1'!N33))</f>
        <v>4.1558224223545284E-2</v>
      </c>
      <c r="D33" s="85">
        <f>('Table 1.3.1'!$E33+'Table 1.3.1'!$L33)/(1000*('Table 1.3.1'!D33+'Table 1.3.1'!J33))</f>
        <v>4.4969409795447897E-2</v>
      </c>
      <c r="E33" s="85">
        <f>'Table 1.3.1'!$E33/(1000*'Table 1.3.1'!C33)</f>
        <v>2.4674867548778928E-2</v>
      </c>
      <c r="F33" s="85">
        <f>'Table 1.3.1'!$E33/(1000*'Table 1.3.1'!D33)</f>
        <v>2.5977152224964484E-2</v>
      </c>
      <c r="G33" s="85">
        <f>'Table 1.3.1'!$L33/(1000*'Table 1.3.1'!F33)</f>
        <v>7.5782921340109902E-2</v>
      </c>
      <c r="H33" s="85">
        <f>'Table 1.3.1'!$L33/(1000*'Table 1.3.1'!G33)</f>
        <v>8.1179228432439687E-2</v>
      </c>
      <c r="I33" s="85">
        <f>'Table 1.3.1'!$L33/(1000*'Table 1.3.1'!H33)</f>
        <v>8.6824141667808025E-2</v>
      </c>
      <c r="J33" s="85">
        <f>'Table 1.3.1'!$L33/(1000*'Table 1.3.1'!J33)</f>
        <v>9.3981687396695421E-2</v>
      </c>
      <c r="K33" s="85">
        <f>'Table 1.3.3'!D33/'Table 1.3.3'!$B33</f>
        <v>4.9478160030923854E-2</v>
      </c>
      <c r="L33" s="85">
        <f>'Table 1.3.3'!C33/'Table 1.3.3'!$B33</f>
        <v>5.4889833784306154E-2</v>
      </c>
    </row>
    <row r="34" spans="1:12" ht="12.75" customHeight="1">
      <c r="A34" s="58">
        <v>1956</v>
      </c>
      <c r="B34" s="85">
        <f>'Table 1.1'!B33/(1000*'Table 1.3.1'!B34)</f>
        <v>4.3504873544568154E-2</v>
      </c>
      <c r="C34" s="85">
        <f>('Table 1.3.1'!$P34)/(1000*('Table 1.3.1'!N34))</f>
        <v>4.2428906600890721E-2</v>
      </c>
      <c r="D34" s="85">
        <f>('Table 1.3.1'!$E34+'Table 1.3.1'!$L34)/(1000*('Table 1.3.1'!D34+'Table 1.3.1'!J34))</f>
        <v>4.4982498201870259E-2</v>
      </c>
      <c r="E34" s="85">
        <f>'Table 1.3.1'!$E34/(1000*'Table 1.3.1'!C34)</f>
        <v>2.54852931002848E-2</v>
      </c>
      <c r="F34" s="85">
        <f>'Table 1.3.1'!$E34/(1000*'Table 1.3.1'!D34)</f>
        <v>2.6212499907296818E-2</v>
      </c>
      <c r="G34" s="85">
        <f>'Table 1.3.1'!$L34/(1000*'Table 1.3.1'!F34)</f>
        <v>7.5455480397590508E-2</v>
      </c>
      <c r="H34" s="85">
        <f>'Table 1.3.1'!$L34/(1000*'Table 1.3.1'!G34)</f>
        <v>8.0600172242880769E-2</v>
      </c>
      <c r="I34" s="85">
        <f>'Table 1.3.1'!$L34/(1000*'Table 1.3.1'!H34)</f>
        <v>8.5198980869351446E-2</v>
      </c>
      <c r="J34" s="85">
        <f>'Table 1.3.1'!$L34/(1000*'Table 1.3.1'!J34)</f>
        <v>9.1816377441728256E-2</v>
      </c>
      <c r="K34" s="85">
        <f>'Table 1.3.3'!D34/'Table 1.3.3'!$B34</f>
        <v>5.1914580265095725E-2</v>
      </c>
      <c r="L34" s="85">
        <f>'Table 1.3.3'!C34/'Table 1.3.3'!$B34</f>
        <v>5.6701030927835051E-2</v>
      </c>
    </row>
    <row r="35" spans="1:12" ht="12.75" customHeight="1">
      <c r="A35" s="58">
        <v>1957</v>
      </c>
      <c r="B35" s="85">
        <f>'Table 1.1'!B34/(1000*'Table 1.3.1'!B35)</f>
        <v>4.5222165810840528E-2</v>
      </c>
      <c r="C35" s="85">
        <f>('Table 1.3.1'!$P35)/(1000*('Table 1.3.1'!N35))</f>
        <v>4.2040969158164104E-2</v>
      </c>
      <c r="D35" s="85">
        <f>('Table 1.3.1'!$E35+'Table 1.3.1'!$L35)/(1000*('Table 1.3.1'!D35+'Table 1.3.1'!J35))</f>
        <v>4.6675406703158562E-2</v>
      </c>
      <c r="E35" s="85">
        <f>'Table 1.3.1'!$E35/(1000*'Table 1.3.1'!C35)</f>
        <v>2.5086668762578427E-2</v>
      </c>
      <c r="F35" s="85">
        <f>'Table 1.3.1'!$E35/(1000*'Table 1.3.1'!D35)</f>
        <v>2.7387057224078803E-2</v>
      </c>
      <c r="G35" s="85">
        <f>'Table 1.3.1'!$L35/(1000*'Table 1.3.1'!F35)</f>
        <v>7.5116910292977526E-2</v>
      </c>
      <c r="H35" s="85">
        <f>'Table 1.3.1'!$L35/(1000*'Table 1.3.1'!G35)</f>
        <v>8.0537718252264551E-2</v>
      </c>
      <c r="I35" s="85">
        <f>'Table 1.3.1'!$L35/(1000*'Table 1.3.1'!H35)</f>
        <v>8.5847897477688603E-2</v>
      </c>
      <c r="J35" s="85">
        <f>'Table 1.3.1'!$L35/(1000*'Table 1.3.1'!J35)</f>
        <v>9.3001888934162655E-2</v>
      </c>
      <c r="K35" s="85">
        <f>'Table 1.3.3'!D35/'Table 1.3.3'!$B35</f>
        <v>5.4063480990582495E-2</v>
      </c>
      <c r="L35" s="85">
        <f>'Table 1.3.3'!C35/'Table 1.3.3'!$B35</f>
        <v>5.9295430763864669E-2</v>
      </c>
    </row>
    <row r="36" spans="1:12" ht="12.75" customHeight="1">
      <c r="A36" s="58">
        <v>1958</v>
      </c>
      <c r="B36" s="85">
        <f>'Table 1.1'!B35/(1000*'Table 1.3.1'!B36)</f>
        <v>4.8228926350262422E-2</v>
      </c>
      <c r="C36" s="85">
        <f>('Table 1.3.1'!$P36)/(1000*('Table 1.3.1'!N36))</f>
        <v>4.1930100043672022E-2</v>
      </c>
      <c r="D36" s="85">
        <f>('Table 1.3.1'!$E36+'Table 1.3.1'!$L36)/(1000*('Table 1.3.1'!D36+'Table 1.3.1'!J36))</f>
        <v>5.1186436992626871E-2</v>
      </c>
      <c r="E36" s="85">
        <f>'Table 1.3.1'!$E36/(1000*'Table 1.3.1'!C36)</f>
        <v>2.5026116094301224E-2</v>
      </c>
      <c r="F36" s="85">
        <f>'Table 1.3.1'!$E36/(1000*'Table 1.3.1'!D36)</f>
        <v>3.1007810509605778E-2</v>
      </c>
      <c r="G36" s="85">
        <f>'Table 1.3.1'!$L36/(1000*'Table 1.3.1'!F36)</f>
        <v>7.418423758390863E-2</v>
      </c>
      <c r="H36" s="85">
        <f>'Table 1.3.1'!$L36/(1000*'Table 1.3.1'!G36)</f>
        <v>7.9717793767323727E-2</v>
      </c>
      <c r="I36" s="85">
        <f>'Table 1.3.1'!$L36/(1000*'Table 1.3.1'!H36)</f>
        <v>8.6579578547295907E-2</v>
      </c>
      <c r="J36" s="85">
        <f>'Table 1.3.1'!$L36/(1000*'Table 1.3.1'!J36)</f>
        <v>9.4211938088655314E-2</v>
      </c>
      <c r="K36" s="85">
        <f>'Table 1.3.3'!D36/'Table 1.3.3'!$B36</f>
        <v>5.7770270270270277E-2</v>
      </c>
      <c r="L36" s="85">
        <f>'Table 1.3.3'!C36/'Table 1.3.3'!$B36</f>
        <v>6.2837837837837848E-2</v>
      </c>
    </row>
    <row r="37" spans="1:12" ht="12.75" customHeight="1">
      <c r="A37" s="58">
        <v>1959</v>
      </c>
      <c r="B37" s="85">
        <f>'Table 1.1'!B36/(1000*'Table 1.3.1'!B37)</f>
        <v>4.8443510910930514E-2</v>
      </c>
      <c r="C37" s="85">
        <f>('Table 1.3.1'!$P37)/(1000*('Table 1.3.1'!N37))</f>
        <v>4.279672341252673E-2</v>
      </c>
      <c r="D37" s="85">
        <f>('Table 1.3.1'!$E37+'Table 1.3.1'!$L37)/(1000*('Table 1.3.1'!D37+'Table 1.3.1'!J37))</f>
        <v>4.880094025917895E-2</v>
      </c>
      <c r="E37" s="85">
        <f>'Table 1.3.1'!$E37/(1000*'Table 1.3.1'!C37)</f>
        <v>2.5774487907728807E-2</v>
      </c>
      <c r="F37" s="85">
        <f>'Table 1.3.1'!$E37/(1000*'Table 1.3.1'!D37)</f>
        <v>2.961137190308389E-2</v>
      </c>
      <c r="G37" s="85">
        <f>'Table 1.3.1'!$L37/(1000*'Table 1.3.1'!F37)</f>
        <v>7.4904916143058956E-2</v>
      </c>
      <c r="H37" s="85">
        <f>'Table 1.3.1'!$L37/(1000*'Table 1.3.1'!G37)</f>
        <v>8.0870794419939773E-2</v>
      </c>
      <c r="I37" s="85">
        <f>'Table 1.3.1'!$L37/(1000*'Table 1.3.1'!H37)</f>
        <v>8.3265601543992637E-2</v>
      </c>
      <c r="J37" s="85">
        <f>'Table 1.3.1'!$L37/(1000*'Table 1.3.1'!J37)</f>
        <v>9.0703719796061455E-2</v>
      </c>
      <c r="K37" s="85">
        <f>'Table 1.3.3'!D37/'Table 1.3.3'!$B37</f>
        <v>5.9212598425196855E-2</v>
      </c>
      <c r="L37" s="85">
        <f>'Table 1.3.3'!C37/'Table 1.3.3'!$B37</f>
        <v>6.4566929133858267E-2</v>
      </c>
    </row>
    <row r="38" spans="1:12" ht="18" customHeight="1">
      <c r="A38" s="58">
        <v>1960</v>
      </c>
      <c r="B38" s="85">
        <f>'Table 1.1'!B37/(1000*'Table 1.3.1'!B38)</f>
        <v>5.0357077121295786E-2</v>
      </c>
      <c r="C38" s="85">
        <f>('Table 1.3.1'!$P38)/(1000*('Table 1.3.1'!N38))</f>
        <v>4.7111581920903943E-2</v>
      </c>
      <c r="D38" s="85">
        <f>('Table 1.3.1'!$E38+'Table 1.3.1'!$L38)/(1000*('Table 1.3.1'!D38+'Table 1.3.1'!J38))</f>
        <v>4.8096611391492433E-2</v>
      </c>
      <c r="E38" s="85">
        <f>'Table 1.3.1'!$E38/(1000*'Table 1.3.1'!C38)</f>
        <v>3.0138169164882225E-2</v>
      </c>
      <c r="F38" s="85">
        <f>'Table 1.3.1'!$E38/(1000*'Table 1.3.1'!D38)</f>
        <v>2.9537303252885623E-2</v>
      </c>
      <c r="G38" s="85">
        <f>'Table 1.3.1'!$L38/(1000*'Table 1.3.1'!F38)</f>
        <v>7.4155673076923084E-2</v>
      </c>
      <c r="H38" s="85">
        <f>'Table 1.3.1'!$L38/(1000*'Table 1.3.1'!G38)</f>
        <v>8.0001970954356849E-2</v>
      </c>
      <c r="I38" s="85">
        <f>'Table 1.3.1'!$L38/(1000*'Table 1.3.1'!H38)</f>
        <v>8.1696927966101701E-2</v>
      </c>
      <c r="J38" s="85">
        <f>'Table 1.3.1'!$L38/(1000*'Table 1.3.1'!J38)</f>
        <v>8.8850115207373265E-2</v>
      </c>
      <c r="K38" s="85">
        <f>'Table 1.3.3'!D38/'Table 1.3.3'!$B38</f>
        <v>6.151990349819058E-2</v>
      </c>
      <c r="L38" s="85">
        <f>'Table 1.3.3'!C38/'Table 1.3.3'!$B38</f>
        <v>6.6948130277442688E-2</v>
      </c>
    </row>
    <row r="39" spans="1:12" ht="12.75" customHeight="1">
      <c r="A39" s="58">
        <v>1961</v>
      </c>
      <c r="B39" s="85">
        <f>'Table 1.1'!B38/(1000*'Table 1.3.1'!B39)</f>
        <v>5.188886916385585E-2</v>
      </c>
      <c r="C39" s="85">
        <f>('Table 1.3.1'!$P39)/(1000*('Table 1.3.1'!N39))</f>
        <v>4.8208661417322836E-2</v>
      </c>
      <c r="D39" s="85">
        <f>('Table 1.3.1'!$E39+'Table 1.3.1'!$L39)/(1000*('Table 1.3.1'!D39+'Table 1.3.1'!J39))</f>
        <v>5.1127348643006262E-2</v>
      </c>
      <c r="E39" s="85">
        <f>'Table 1.3.1'!$E39/(1000*'Table 1.3.1'!C39)</f>
        <v>3.2190621242484965E-2</v>
      </c>
      <c r="F39" s="85">
        <f>'Table 1.3.1'!$E39/(1000*'Table 1.3.1'!D39)</f>
        <v>3.3119835051546392E-2</v>
      </c>
      <c r="G39" s="85">
        <f>'Table 1.3.1'!$L39/(1000*'Table 1.3.1'!F39)</f>
        <v>7.2660386643233751E-2</v>
      </c>
      <c r="H39" s="85">
        <f>'Table 1.3.1'!$L39/(1000*'Table 1.3.1'!G39)</f>
        <v>7.8600304182509503E-2</v>
      </c>
      <c r="I39" s="85">
        <f>'Table 1.3.1'!$L39/(1000*'Table 1.3.1'!H39)</f>
        <v>8.106619607843138E-2</v>
      </c>
      <c r="J39" s="85">
        <f>'Table 1.3.1'!$L39/(1000*'Table 1.3.1'!J39)</f>
        <v>8.8530535331905788E-2</v>
      </c>
      <c r="K39" s="85">
        <f>'Table 1.3.3'!D39/'Table 1.3.3'!$B39</f>
        <v>6.3742690058479531E-2</v>
      </c>
      <c r="L39" s="85">
        <f>'Table 1.3.3'!C39/'Table 1.3.3'!$B39</f>
        <v>6.95906432748538E-2</v>
      </c>
    </row>
    <row r="40" spans="1:12" ht="12.75" customHeight="1">
      <c r="A40" s="58">
        <v>1962</v>
      </c>
      <c r="B40" s="85">
        <f>'Table 1.1'!B39/(1000*'Table 1.3.1'!B40)</f>
        <v>5.2730127251693938E-2</v>
      </c>
      <c r="C40" s="85">
        <f>('Table 1.3.1'!$P40)/(1000*('Table 1.3.1'!N40))</f>
        <v>4.8768292682926831E-2</v>
      </c>
      <c r="D40" s="85">
        <f>('Table 1.3.1'!$E40+'Table 1.3.1'!$L40)/(1000*('Table 1.3.1'!D40+'Table 1.3.1'!J40))</f>
        <v>5.1401028277634958E-2</v>
      </c>
      <c r="E40" s="85">
        <f>'Table 1.3.1'!$E40/(1000*'Table 1.3.1'!C40)</f>
        <v>3.3437972350230417E-2</v>
      </c>
      <c r="F40" s="85">
        <f>'Table 1.3.1'!$E40/(1000*'Table 1.3.1'!D40)</f>
        <v>3.4486882129277564E-2</v>
      </c>
      <c r="G40" s="85">
        <f>'Table 1.3.1'!$L40/(1000*'Table 1.3.1'!F40)</f>
        <v>7.2591029900332213E-2</v>
      </c>
      <c r="H40" s="85">
        <f>'Table 1.3.1'!$L40/(1000*'Table 1.3.1'!G40)</f>
        <v>7.8738378378378368E-2</v>
      </c>
      <c r="I40" s="85">
        <f>'Table 1.3.1'!$L40/(1000*'Table 1.3.1'!H40)</f>
        <v>7.930998185117967E-2</v>
      </c>
      <c r="J40" s="85">
        <f>'Table 1.3.1'!$L40/(1000*'Table 1.3.1'!J40)</f>
        <v>8.670595238095237E-2</v>
      </c>
      <c r="K40" s="85">
        <f>'Table 1.3.3'!D40/'Table 1.3.3'!$B40</f>
        <v>6.6923712475901953E-2</v>
      </c>
      <c r="L40" s="85">
        <f>'Table 1.3.3'!C40/'Table 1.3.3'!$B40</f>
        <v>7.2707243183695952E-2</v>
      </c>
    </row>
    <row r="41" spans="1:12" ht="12.75" customHeight="1">
      <c r="A41" s="58">
        <v>1963</v>
      </c>
      <c r="B41" s="85">
        <f>'Table 1.1'!B40/(1000*'Table 1.3.1'!B41)</f>
        <v>5.4379893517068588E-2</v>
      </c>
      <c r="C41" s="85">
        <f>('Table 1.3.1'!$P41)/(1000*('Table 1.3.1'!N41))</f>
        <v>5.0899135446685881E-2</v>
      </c>
      <c r="D41" s="85">
        <f>('Table 1.3.1'!$E41+'Table 1.3.1'!$L41)/(1000*('Table 1.3.1'!D41+'Table 1.3.1'!J41))</f>
        <v>5.2534205829863179E-2</v>
      </c>
      <c r="E41" s="85">
        <f>'Table 1.3.1'!$E41/(1000*'Table 1.3.1'!C41)</f>
        <v>3.6560775330396478E-2</v>
      </c>
      <c r="F41" s="85">
        <f>'Table 1.3.1'!$E41/(1000*'Table 1.3.1'!D41)</f>
        <v>3.6528591549295775E-2</v>
      </c>
      <c r="G41" s="85">
        <f>'Table 1.3.1'!$L41/(1000*'Table 1.3.1'!F41)</f>
        <v>7.179987730061349E-2</v>
      </c>
      <c r="H41" s="85">
        <f>'Table 1.3.1'!$L41/(1000*'Table 1.3.1'!G41)</f>
        <v>7.8022533333333324E-2</v>
      </c>
      <c r="I41" s="85">
        <f>'Table 1.3.1'!$L41/(1000*'Table 1.3.1'!H41)</f>
        <v>7.8414606365159123E-2</v>
      </c>
      <c r="J41" s="85">
        <f>'Table 1.3.1'!$L41/(1000*'Table 1.3.1'!J41)</f>
        <v>8.5896366972477059E-2</v>
      </c>
      <c r="K41" s="85">
        <f>'Table 1.3.3'!D41/'Table 1.3.3'!$B41</f>
        <v>6.9019607843137251E-2</v>
      </c>
      <c r="L41" s="85">
        <f>'Table 1.3.3'!C41/'Table 1.3.3'!$B41</f>
        <v>7.4771241830065352E-2</v>
      </c>
    </row>
    <row r="42" spans="1:12" ht="12.75" customHeight="1">
      <c r="A42" s="58">
        <v>1964</v>
      </c>
      <c r="B42" s="85">
        <f>'Table 1.1'!B41/(1000*'Table 1.3.1'!B42)</f>
        <v>5.6202974628171476E-2</v>
      </c>
      <c r="C42" s="85">
        <f>('Table 1.3.1'!$P42)/(1000*('Table 1.3.1'!N42))</f>
        <v>5.1654833424358268E-2</v>
      </c>
      <c r="D42" s="85">
        <f>('Table 1.3.1'!$E42+'Table 1.3.1'!$L42)/(1000*('Table 1.3.1'!D42+'Table 1.3.1'!J42))</f>
        <v>5.4575879976918637E-2</v>
      </c>
      <c r="E42" s="85">
        <f>'Table 1.3.1'!$E42/(1000*'Table 1.3.1'!C42)</f>
        <v>3.6807961082910325E-2</v>
      </c>
      <c r="F42" s="85">
        <f>'Table 1.3.1'!$E42/(1000*'Table 1.3.1'!D42)</f>
        <v>3.8197550482879719E-2</v>
      </c>
      <c r="G42" s="85">
        <f>'Table 1.3.1'!$L42/(1000*'Table 1.3.1'!F42)</f>
        <v>7.2035246826516214E-2</v>
      </c>
      <c r="H42" s="85">
        <f>'Table 1.3.1'!$L42/(1000*'Table 1.3.1'!G42)</f>
        <v>7.869489984591678E-2</v>
      </c>
      <c r="I42" s="85">
        <f>'Table 1.3.1'!$L42/(1000*'Table 1.3.1'!H42)</f>
        <v>7.809325688073393E-2</v>
      </c>
      <c r="J42" s="85">
        <f>'Table 1.3.1'!$L42/(1000*'Table 1.3.1'!J42)</f>
        <v>8.5981464646464639E-2</v>
      </c>
      <c r="K42" s="85">
        <f>'Table 1.3.3'!D42/'Table 1.3.3'!$B42</f>
        <v>7.2470817120622574E-2</v>
      </c>
      <c r="L42" s="85">
        <f>'Table 1.3.3'!C42/'Table 1.3.3'!$B42</f>
        <v>7.8307392996108963E-2</v>
      </c>
    </row>
    <row r="43" spans="1:12" ht="12.75" customHeight="1">
      <c r="A43" s="58">
        <v>1965</v>
      </c>
      <c r="B43" s="85">
        <f>'Table 1.1'!B42/(1000*'Table 1.3.1'!B43)</f>
        <v>5.6416565819550894E-2</v>
      </c>
      <c r="C43" s="85">
        <f>('Table 1.3.1'!$P43)/(1000*('Table 1.3.1'!N43))</f>
        <v>5.2253807106598986E-2</v>
      </c>
      <c r="D43" s="85">
        <f>('Table 1.3.1'!$E43+'Table 1.3.1'!$L43)/(1000*('Table 1.3.1'!D43+'Table 1.3.1'!J43))</f>
        <v>5.5018706574024585E-2</v>
      </c>
      <c r="E43" s="85">
        <f>'Table 1.3.1'!$E43/(1000*'Table 1.3.1'!C43)</f>
        <v>3.6526370135027797E-2</v>
      </c>
      <c r="F43" s="85">
        <f>'Table 1.3.1'!$E43/(1000*'Table 1.3.1'!D43)</f>
        <v>3.7326866883116885E-2</v>
      </c>
      <c r="G43" s="85">
        <f>'Table 1.3.1'!$L43/(1000*'Table 1.3.1'!F43)</f>
        <v>7.3298970398970403E-2</v>
      </c>
      <c r="H43" s="85">
        <f>'Table 1.3.1'!$L43/(1000*'Table 1.3.1'!G43)</f>
        <v>8.0103094233473962E-2</v>
      </c>
      <c r="I43" s="85">
        <f>'Table 1.3.1'!$L43/(1000*'Table 1.3.1'!H43)</f>
        <v>8.0784822695035466E-2</v>
      </c>
      <c r="J43" s="85">
        <f>'Table 1.3.1'!$L43/(1000*'Table 1.3.1'!J43)</f>
        <v>8.912879499217527E-2</v>
      </c>
      <c r="K43" s="85">
        <f>'Table 1.3.3'!D43/'Table 1.3.3'!$B43</f>
        <v>7.2137060414788096E-2</v>
      </c>
      <c r="L43" s="85">
        <f>'Table 1.3.3'!C43/'Table 1.3.3'!$B43</f>
        <v>7.7998196573489623E-2</v>
      </c>
    </row>
    <row r="44" spans="1:12" ht="12.75" customHeight="1">
      <c r="A44" s="58">
        <v>1966</v>
      </c>
      <c r="B44" s="85">
        <f>'Table 1.1'!B43/(1000*'Table 1.3.1'!B44)</f>
        <v>5.6753374233128831E-2</v>
      </c>
      <c r="C44" s="85">
        <f>('Table 1.3.1'!$P44)/(1000*('Table 1.3.1'!N44))</f>
        <v>6.2152527075812265E-2</v>
      </c>
      <c r="D44" s="85">
        <f>('Table 1.3.1'!$E44+'Table 1.3.1'!$L44)/(1000*('Table 1.3.1'!D44+'Table 1.3.1'!J44))</f>
        <v>6.5523311132254999E-2</v>
      </c>
      <c r="E44" s="85">
        <f>'Table 1.3.1'!$E44/(1000*'Table 1.3.1'!C44)</f>
        <v>5.1425024255024258E-2</v>
      </c>
      <c r="F44" s="85">
        <f>'Table 1.3.1'!$E44/(1000*'Table 1.3.1'!D44)</f>
        <v>5.2853497150997152E-2</v>
      </c>
      <c r="G44" s="85">
        <f>'Table 1.3.1'!$L44/(1000*'Table 1.3.1'!F44)</f>
        <v>7.326838523644752E-2</v>
      </c>
      <c r="H44" s="85">
        <f>'Table 1.3.1'!$L44/(1000*'Table 1.3.1'!G44)</f>
        <v>8.2178124191461838E-2</v>
      </c>
      <c r="I44" s="85">
        <f>'Table 1.3.1'!$L44/(1000*'Table 1.3.1'!H44)</f>
        <v>8.0206679292929295E-2</v>
      </c>
      <c r="J44" s="85">
        <f>'Table 1.3.1'!$L44/(1000*'Table 1.3.1'!J44)</f>
        <v>9.1008151862464179E-2</v>
      </c>
      <c r="K44" s="85">
        <f>'Table 1.3.3'!D44/'Table 1.3.3'!$B44</f>
        <v>7.2825634623387425E-2</v>
      </c>
      <c r="L44" s="85">
        <f>'Table 1.3.3'!C44/'Table 1.3.3'!$B44</f>
        <v>7.8859758635039523E-2</v>
      </c>
    </row>
    <row r="45" spans="1:12" ht="12.75" customHeight="1">
      <c r="A45" s="58">
        <v>1967</v>
      </c>
      <c r="B45" s="85">
        <f>'Table 1.1'!B44/(1000*'Table 1.3.1'!B45)</f>
        <v>6.0090518742021586E-2</v>
      </c>
      <c r="C45" s="85">
        <f>('Table 1.3.1'!$P45)/(1000*('Table 1.3.1'!N45))</f>
        <v>7.6215139442231072E-2</v>
      </c>
      <c r="D45" s="85">
        <f>('Table 1.3.1'!$E45+'Table 1.3.1'!$L45)/(1000*('Table 1.3.1'!D45+'Table 1.3.1'!J45))</f>
        <v>8.4984451354953347E-2</v>
      </c>
      <c r="E45" s="85">
        <f>'Table 1.3.1'!$E45/(1000*'Table 1.3.1'!C45)</f>
        <v>7.1414001207000602E-2</v>
      </c>
      <c r="F45" s="85">
        <f>'Table 1.3.1'!$E45/(1000*'Table 1.3.1'!D45)</f>
        <v>7.9258539852645679E-2</v>
      </c>
      <c r="G45" s="85">
        <f>'Table 1.3.1'!$L45/(1000*'Table 1.3.1'!F45)</f>
        <v>7.5849272349272343E-2</v>
      </c>
      <c r="H45" s="85">
        <f>'Table 1.3.1'!$L45/(1000*'Table 1.3.1'!G45)</f>
        <v>8.5541617819460722E-2</v>
      </c>
      <c r="I45" s="85">
        <f>'Table 1.3.1'!$L45/(1000*'Table 1.3.1'!H45)</f>
        <v>8.416032295271049E-2</v>
      </c>
      <c r="J45" s="85">
        <f>'Table 1.3.1'!$L45/(1000*'Table 1.3.1'!J45)</f>
        <v>9.6262532981530341E-2</v>
      </c>
      <c r="K45" s="85">
        <f>'Table 1.3.3'!D45/'Table 1.3.3'!$B45</f>
        <v>7.5679936933385886E-2</v>
      </c>
      <c r="L45" s="85">
        <f>'Table 1.3.3'!C45/'Table 1.3.3'!$B45</f>
        <v>8.1395348837209294E-2</v>
      </c>
    </row>
    <row r="46" spans="1:12" ht="12.75" customHeight="1">
      <c r="A46" s="58">
        <v>1968</v>
      </c>
      <c r="B46" s="85">
        <f>'Table 1.1'!B45/(1000*'Table 1.3.1'!B46)</f>
        <v>6.2339522546419099E-2</v>
      </c>
      <c r="C46" s="85">
        <f>('Table 1.3.1'!$P46)/(1000*('Table 1.3.1'!N46))</f>
        <v>7.8210227272727278E-2</v>
      </c>
      <c r="D46" s="85">
        <f>('Table 1.3.1'!$E46+'Table 1.3.1'!$L46)/(1000*('Table 1.3.1'!D46+'Table 1.3.1'!J46))</f>
        <v>8.4318529862174585E-2</v>
      </c>
      <c r="E46" s="85">
        <f>'Table 1.3.1'!$E46/(1000*'Table 1.3.1'!C46)</f>
        <v>7.5625263157894737E-2</v>
      </c>
      <c r="F46" s="85">
        <f>'Table 1.3.1'!$E46/(1000*'Table 1.3.1'!D46)</f>
        <v>8.0240276338514688E-2</v>
      </c>
      <c r="G46" s="85">
        <f>'Table 1.3.1'!$L46/(1000*'Table 1.3.1'!F46)</f>
        <v>7.411791017415216E-2</v>
      </c>
      <c r="H46" s="85">
        <f>'Table 1.3.1'!$L46/(1000*'Table 1.3.1'!G46)</f>
        <v>8.3106515930113048E-2</v>
      </c>
      <c r="I46" s="85">
        <f>'Table 1.3.1'!$L46/(1000*'Table 1.3.1'!H46)</f>
        <v>8.143266868076536E-2</v>
      </c>
      <c r="J46" s="85">
        <f>'Table 1.3.1'!$L46/(1000*'Table 1.3.1'!J46)</f>
        <v>9.2414445714285712E-2</v>
      </c>
      <c r="K46" s="85">
        <f>'Table 1.3.3'!D46/'Table 1.3.3'!$B46</f>
        <v>7.8579117330462855E-2</v>
      </c>
      <c r="L46" s="85">
        <f>'Table 1.3.3'!C46/'Table 1.3.3'!$B46</f>
        <v>8.5396483674201648E-2</v>
      </c>
    </row>
    <row r="47" spans="1:12" ht="12.75" customHeight="1">
      <c r="A47" s="58">
        <v>1969</v>
      </c>
      <c r="B47" s="85">
        <f>'Table 1.1'!B46/(1000*'Table 1.3.1'!B47)</f>
        <v>6.492303166977155E-2</v>
      </c>
      <c r="C47" s="85">
        <f>('Table 1.3.1'!$P47)/(1000*('Table 1.3.1'!N47))</f>
        <v>8.1600790513833996E-2</v>
      </c>
      <c r="D47" s="85">
        <f>('Table 1.3.1'!$E47+'Table 1.3.1'!$L47)/(1000*('Table 1.3.1'!D47+'Table 1.3.1'!J47))</f>
        <v>8.4581768521679757E-2</v>
      </c>
      <c r="E47" s="85">
        <f>'Table 1.3.1'!$E47/(1000*'Table 1.3.1'!C47)</f>
        <v>7.9954860335195527E-2</v>
      </c>
      <c r="F47" s="85">
        <f>'Table 1.3.1'!$E47/(1000*'Table 1.3.1'!D47)</f>
        <v>8.0568638689866939E-2</v>
      </c>
      <c r="G47" s="85">
        <f>'Table 1.3.1'!$L47/(1000*'Table 1.3.1'!F47)</f>
        <v>7.5007375415282379E-2</v>
      </c>
      <c r="H47" s="85">
        <f>'Table 1.3.1'!$L47/(1000*'Table 1.3.1'!G47)</f>
        <v>8.463812558575444E-2</v>
      </c>
      <c r="I47" s="85">
        <f>'Table 1.3.1'!$L47/(1000*'Table 1.3.1'!H47)</f>
        <v>8.1213021582733802E-2</v>
      </c>
      <c r="J47" s="85">
        <f>'Table 1.3.1'!$L47/(1000*'Table 1.3.1'!J47)</f>
        <v>9.2624492307692291E-2</v>
      </c>
      <c r="K47" s="85">
        <f>'Table 1.3.3'!D47/'Table 1.3.3'!$B47</f>
        <v>8.2712985938792394E-2</v>
      </c>
      <c r="L47" s="85">
        <f>'Table 1.3.3'!C47/'Table 1.3.3'!$B47</f>
        <v>8.9495450785773367E-2</v>
      </c>
    </row>
    <row r="48" spans="1:12" ht="18" customHeight="1">
      <c r="A48" s="58">
        <v>1970</v>
      </c>
      <c r="B48" s="85">
        <f>'Table 1.1'!B47/(1000*'Table 1.3.1'!B48)</f>
        <v>6.9572450971279856E-2</v>
      </c>
      <c r="C48" s="85">
        <f>('Table 1.3.1'!$P48)/(1000*('Table 1.3.1'!N48))</f>
        <v>8.3169139465875369E-2</v>
      </c>
      <c r="D48" s="85">
        <f>('Table 1.3.1'!$E48+'Table 1.3.1'!$L48)/(1000*('Table 1.3.1'!D48+'Table 1.3.1'!J48))</f>
        <v>9.481732070365359E-2</v>
      </c>
      <c r="E48" s="85">
        <f>'Table 1.3.1'!$E48/(1000*'Table 1.3.1'!C48)</f>
        <v>8.0232924056389279E-2</v>
      </c>
      <c r="F48" s="85">
        <f>'Table 1.3.1'!$E48/(1000*'Table 1.3.1'!D48)</f>
        <v>9.3449258474576274E-2</v>
      </c>
      <c r="G48" s="85">
        <f>'Table 1.3.1'!$L48/(1000*'Table 1.3.1'!F48)</f>
        <v>7.6697045790251106E-2</v>
      </c>
      <c r="H48" s="85">
        <f>'Table 1.3.1'!$L48/(1000*'Table 1.3.1'!G48)</f>
        <v>8.8683005977796728E-2</v>
      </c>
      <c r="I48" s="85">
        <f>'Table 1.3.1'!$L48/(1000*'Table 1.3.1'!H48)</f>
        <v>8.301183053557154E-2</v>
      </c>
      <c r="J48" s="85">
        <f>'Table 1.3.1'!$L48/(1000*'Table 1.3.1'!J48)</f>
        <v>9.7235767790262162E-2</v>
      </c>
      <c r="K48" s="85">
        <f>'Table 1.3.3'!D48/'Table 1.3.3'!$B48</f>
        <v>8.7694920487880176E-2</v>
      </c>
      <c r="L48" s="85">
        <f>'Table 1.3.3'!C48/'Table 1.3.3'!$B48</f>
        <v>9.4488188976377938E-2</v>
      </c>
    </row>
    <row r="49" spans="1:12" ht="12.75" customHeight="1">
      <c r="A49" s="58">
        <v>1971</v>
      </c>
      <c r="B49" s="85">
        <f>'Table 1.1'!B48/(1000*'Table 1.3.1'!B49)</f>
        <v>7.1279328652166463E-2</v>
      </c>
      <c r="C49" s="85">
        <f>('Table 1.3.1'!$P49)/(1000*('Table 1.3.1'!N49))</f>
        <v>8.5723489932885907E-2</v>
      </c>
      <c r="D49" s="85">
        <f>('Table 1.3.1'!$E49+'Table 1.3.1'!$L49)/(1000*('Table 1.3.1'!D49+'Table 1.3.1'!J49))</f>
        <v>0.10175908221797324</v>
      </c>
      <c r="E49" s="85">
        <f>'Table 1.3.1'!$E49/(1000*'Table 1.3.1'!C49)</f>
        <v>8.4785838509316772E-2</v>
      </c>
      <c r="F49" s="85">
        <f>'Table 1.3.1'!$E49/(1000*'Table 1.3.1'!D49)</f>
        <v>0.1048427035330261</v>
      </c>
      <c r="G49" s="85">
        <f>'Table 1.3.1'!$L49/(1000*'Table 1.3.1'!F49)</f>
        <v>7.4828347485303731E-2</v>
      </c>
      <c r="H49" s="85">
        <f>'Table 1.3.1'!$L49/(1000*'Table 1.3.1'!G49)</f>
        <v>8.7452061068702305E-2</v>
      </c>
      <c r="I49" s="85">
        <f>'Table 1.3.1'!$L49/(1000*'Table 1.3.1'!H49)</f>
        <v>8.1480938833570424E-2</v>
      </c>
      <c r="J49" s="85">
        <f>'Table 1.3.1'!$L49/(1000*'Table 1.3.1'!J49)</f>
        <v>9.6676962025316462E-2</v>
      </c>
      <c r="K49" s="85">
        <f>'Table 1.3.3'!D49/'Table 1.3.3'!$B49</f>
        <v>9.044222539229671E-2</v>
      </c>
      <c r="L49" s="85">
        <f>'Table 1.3.3'!C49/'Table 1.3.3'!$B49</f>
        <v>9.7860199714693286E-2</v>
      </c>
    </row>
    <row r="50" spans="1:12" ht="12.75" customHeight="1">
      <c r="A50" s="58">
        <v>1972</v>
      </c>
      <c r="B50" s="85">
        <f>'Table 1.1'!B49/(1000*'Table 1.3.1'!B50)</f>
        <v>7.2630224578914535E-2</v>
      </c>
      <c r="C50" s="85">
        <f>('Table 1.3.1'!$P50)/(1000*('Table 1.3.1'!N50))</f>
        <v>8.8163214990138086E-2</v>
      </c>
      <c r="D50" s="85">
        <f>('Table 1.3.1'!$E50+'Table 1.3.1'!$L50)/(1000*('Table 1.3.1'!D50+'Table 1.3.1'!J50))</f>
        <v>9.9857581681094668E-2</v>
      </c>
      <c r="E50" s="85">
        <f>'Table 1.3.1'!$E50/(1000*'Table 1.3.1'!C50)</f>
        <v>8.588861515490856E-2</v>
      </c>
      <c r="F50" s="85">
        <f>'Table 1.3.1'!$E50/(1000*'Table 1.3.1'!D50)</f>
        <v>0.10253814616755794</v>
      </c>
      <c r="G50" s="85">
        <f>'Table 1.3.1'!$L50/(1000*'Table 1.3.1'!F50)</f>
        <v>7.5799286563614746E-2</v>
      </c>
      <c r="H50" s="85">
        <f>'Table 1.3.1'!$L50/(1000*'Table 1.3.1'!G50)</f>
        <v>9.2588525780682648E-2</v>
      </c>
      <c r="I50" s="85">
        <f>'Table 1.3.1'!$L50/(1000*'Table 1.3.1'!H50)</f>
        <v>7.7645797807551764E-2</v>
      </c>
      <c r="J50" s="85">
        <f>'Table 1.3.1'!$L50/(1000*'Table 1.3.1'!J50)</f>
        <v>9.5358563949139871E-2</v>
      </c>
      <c r="K50" s="85">
        <f>'Table 1.3.3'!D50/'Table 1.3.3'!$B50</f>
        <v>9.1499870028593722E-2</v>
      </c>
      <c r="L50" s="85">
        <f>'Table 1.3.3'!C50/'Table 1.3.3'!$B50</f>
        <v>9.9688068624902523E-2</v>
      </c>
    </row>
    <row r="51" spans="1:12" ht="12.75" customHeight="1">
      <c r="A51" s="58">
        <v>1973</v>
      </c>
      <c r="B51" s="85">
        <f>'Table 1.1'!B50/(1000*'Table 1.3.1'!B51)</f>
        <v>7.2359117955897792E-2</v>
      </c>
      <c r="C51" s="85">
        <f>('Table 1.3.1'!$P51)/(1000*('Table 1.3.1'!N51))</f>
        <v>9.2270233196159124E-2</v>
      </c>
      <c r="D51" s="85">
        <f>('Table 1.3.1'!$E51+'Table 1.3.1'!$L51)/(1000*('Table 1.3.1'!D51+'Table 1.3.1'!J51))</f>
        <v>0.10067099027188825</v>
      </c>
      <c r="E51" s="85">
        <f>'Table 1.3.1'!$E51/(1000*'Table 1.3.1'!C51)</f>
        <v>8.9880620425235272E-2</v>
      </c>
      <c r="F51" s="85">
        <f>'Table 1.3.1'!$E51/(1000*'Table 1.3.1'!D51)</f>
        <v>0.10140287062524578</v>
      </c>
      <c r="G51" s="85">
        <f>'Table 1.3.1'!$L51/(1000*'Table 1.3.1'!F51)</f>
        <v>7.9197010869565224E-2</v>
      </c>
      <c r="H51" s="85">
        <f>'Table 1.3.1'!$L51/(1000*'Table 1.3.1'!G51)</f>
        <v>9.6825581395348831E-2</v>
      </c>
      <c r="I51" s="85">
        <f>'Table 1.3.1'!$L51/(1000*'Table 1.3.1'!H51)</f>
        <v>8.0911993337034985E-2</v>
      </c>
      <c r="J51" s="85">
        <f>'Table 1.3.1'!$L51/(1000*'Table 1.3.1'!J51)</f>
        <v>9.9401432469304232E-2</v>
      </c>
      <c r="K51" s="85">
        <f>'Table 1.3.3'!D51/'Table 1.3.3'!$B51</f>
        <v>9.2468570085771362E-2</v>
      </c>
      <c r="L51" s="85">
        <f>'Table 1.3.3'!C51/'Table 1.3.3'!$B51</f>
        <v>0.10034073551874045</v>
      </c>
    </row>
    <row r="52" spans="1:12" ht="12.75" customHeight="1">
      <c r="A52" s="58">
        <v>1974</v>
      </c>
      <c r="B52" s="85">
        <f>'Table 1.1'!B51/(1000*'Table 1.3.1'!B52)</f>
        <v>7.5643724173553722E-2</v>
      </c>
      <c r="C52" s="85">
        <f>('Table 1.3.1'!$P52)/(1000*('Table 1.3.1'!N52))</f>
        <v>9.667072923014422E-2</v>
      </c>
      <c r="D52" s="85">
        <f>('Table 1.3.1'!$E52+'Table 1.3.1'!$L52)/(1000*('Table 1.3.1'!D52+'Table 1.3.1'!J52))</f>
        <v>0.10718693693693694</v>
      </c>
      <c r="E52" s="85">
        <f>'Table 1.3.1'!$E52/(1000*'Table 1.3.1'!C52)</f>
        <v>9.6509796302099646E-2</v>
      </c>
      <c r="F52" s="85">
        <f>'Table 1.3.1'!$E52/(1000*'Table 1.3.1'!D52)</f>
        <v>0.10870552770914224</v>
      </c>
      <c r="G52" s="85">
        <f>'Table 1.3.1'!$L52/(1000*'Table 1.3.1'!F52)</f>
        <v>8.0705064872657384E-2</v>
      </c>
      <c r="H52" s="85">
        <f>'Table 1.3.1'!$L52/(1000*'Table 1.3.1'!G52)</f>
        <v>9.6967228637413402E-2</v>
      </c>
      <c r="I52" s="85">
        <f>'Table 1.3.1'!$L52/(1000*'Table 1.3.1'!H52)</f>
        <v>8.5862597137014329E-2</v>
      </c>
      <c r="J52" s="85">
        <f>'Table 1.3.1'!$L52/(1000*'Table 1.3.1'!J52)</f>
        <v>0.1045097946484132</v>
      </c>
      <c r="K52" s="85">
        <f>'Table 1.3.3'!D52/'Table 1.3.3'!$B52</f>
        <v>9.5171673819742494E-2</v>
      </c>
      <c r="L52" s="85">
        <f>'Table 1.3.3'!C52/'Table 1.3.3'!$B52</f>
        <v>0.10257510729613735</v>
      </c>
    </row>
    <row r="53" spans="1:12" ht="12.75" customHeight="1">
      <c r="A53" s="58">
        <v>1975</v>
      </c>
      <c r="B53" s="85">
        <f>'Table 1.1'!B52/(1000*'Table 1.3.1'!B53)</f>
        <v>7.9095861211439397E-2</v>
      </c>
      <c r="C53" s="85">
        <f>('Table 1.3.1'!$P53)/(1000*('Table 1.3.1'!N53))</f>
        <v>9.8463971880492093E-2</v>
      </c>
      <c r="D53" s="85">
        <f>('Table 1.3.1'!$E53+'Table 1.3.1'!$L53)/(1000*('Table 1.3.1'!D53+'Table 1.3.1'!J53))</f>
        <v>0.12264886164623469</v>
      </c>
      <c r="E53" s="85">
        <f>'Table 1.3.1'!$E53/(1000*'Table 1.3.1'!C53)</f>
        <v>9.8112581594435533E-2</v>
      </c>
      <c r="F53" s="85">
        <f>'Table 1.3.1'!$E53/(1000*'Table 1.3.1'!D53)</f>
        <v>0.13018985800496982</v>
      </c>
      <c r="G53" s="85">
        <f>'Table 1.3.1'!$L53/(1000*'Table 1.3.1'!F53)</f>
        <v>8.1036503350083749E-2</v>
      </c>
      <c r="H53" s="85">
        <f>'Table 1.3.1'!$L53/(1000*'Table 1.3.1'!G53)</f>
        <v>9.9136869877049158E-2</v>
      </c>
      <c r="I53" s="85">
        <f>'Table 1.3.1'!$L53/(1000*'Table 1.3.1'!H53)</f>
        <v>8.848430269775949E-2</v>
      </c>
      <c r="J53" s="85">
        <f>'Table 1.3.1'!$L53/(1000*'Table 1.3.1'!J53)</f>
        <v>0.11051694460308395</v>
      </c>
      <c r="K53" s="85">
        <f>'Table 1.3.3'!D53/'Table 1.3.3'!$B53</f>
        <v>9.9438419829589467E-2</v>
      </c>
      <c r="L53" s="85">
        <f>'Table 1.3.3'!C53/'Table 1.3.3'!$B53</f>
        <v>0.10650658404337723</v>
      </c>
    </row>
    <row r="54" spans="1:12" ht="12.75" customHeight="1">
      <c r="A54" s="58">
        <v>1976</v>
      </c>
      <c r="B54" s="85">
        <f>'Table 1.1'!B53/(1000*'Table 1.3.1'!B54)</f>
        <v>8.1492863229654877E-2</v>
      </c>
      <c r="C54" s="85">
        <f>('Table 1.3.1'!$P54)/(1000*('Table 1.3.1'!N54))</f>
        <v>0.10450049455984174</v>
      </c>
      <c r="D54" s="85">
        <f>('Table 1.3.1'!$E54+'Table 1.3.1'!$L54)/(1000*('Table 1.3.1'!D54+'Table 1.3.1'!J54))</f>
        <v>0.12129735935706085</v>
      </c>
      <c r="E54" s="85">
        <f>'Table 1.3.1'!$E54/(1000*'Table 1.3.1'!C54)</f>
        <v>0.10730177816463565</v>
      </c>
      <c r="F54" s="85">
        <f>'Table 1.3.1'!$E54/(1000*'Table 1.3.1'!D54)</f>
        <v>0.13162307809640023</v>
      </c>
      <c r="G54" s="85">
        <f>'Table 1.3.1'!$L54/(1000*'Table 1.3.1'!F54)</f>
        <v>7.9826320977917989E-2</v>
      </c>
      <c r="H54" s="85">
        <f>'Table 1.3.1'!$L54/(1000*'Table 1.3.1'!G54)</f>
        <v>9.8992444987775069E-2</v>
      </c>
      <c r="I54" s="85">
        <f>'Table 1.3.1'!$L54/(1000*'Table 1.3.1'!H54)</f>
        <v>8.3001045510455118E-2</v>
      </c>
      <c r="J54" s="85">
        <f>'Table 1.3.1'!$L54/(1000*'Table 1.3.1'!J54)</f>
        <v>0.10392174024640657</v>
      </c>
      <c r="K54" s="85">
        <f>'Table 1.3.3'!D54/'Table 1.3.3'!$B54</f>
        <v>0.10154755694661798</v>
      </c>
      <c r="L54" s="85">
        <f>'Table 1.3.3'!C54/'Table 1.3.3'!$B54</f>
        <v>0.10858981046774473</v>
      </c>
    </row>
    <row r="55" spans="1:12" ht="12.75" customHeight="1">
      <c r="A55" s="58">
        <v>1977</v>
      </c>
      <c r="B55" s="85">
        <f>'Table 1.1'!B54/(1000*'Table 1.3.1'!B55)</f>
        <v>8.3403163950143813E-2</v>
      </c>
      <c r="C55" s="85">
        <f>('Table 1.3.1'!$P55)/(1000*('Table 1.3.1'!N55))</f>
        <v>0.10906456065020705</v>
      </c>
      <c r="D55" s="85">
        <f>('Table 1.3.1'!$E55+'Table 1.3.1'!$L55)/(1000*('Table 1.3.1'!D55+'Table 1.3.1'!J55))</f>
        <v>0.12118078037144317</v>
      </c>
      <c r="E55" s="85">
        <f>'Table 1.3.1'!$E55/(1000*'Table 1.3.1'!C55)</f>
        <v>0.10951440973817179</v>
      </c>
      <c r="F55" s="85">
        <f>'Table 1.3.1'!$E55/(1000*'Table 1.3.1'!D55)</f>
        <v>0.12862847046128945</v>
      </c>
      <c r="G55" s="85">
        <f>'Table 1.3.1'!$L55/(1000*'Table 1.3.1'!F55)</f>
        <v>8.6329377532228357E-2</v>
      </c>
      <c r="H55" s="85">
        <f>'Table 1.3.1'!$L55/(1000*'Table 1.3.1'!G55)</f>
        <v>0.10816071065989848</v>
      </c>
      <c r="I55" s="85">
        <f>'Table 1.3.1'!$L55/(1000*'Table 1.3.1'!H55)</f>
        <v>8.6488656826568269E-2</v>
      </c>
      <c r="J55" s="85">
        <f>'Table 1.3.1'!$L55/(1000*'Table 1.3.1'!J55)</f>
        <v>0.10841085106382979</v>
      </c>
      <c r="K55" s="85">
        <f>'Table 1.3.3'!D55/'Table 1.3.3'!$B55</f>
        <v>0.10307824860969686</v>
      </c>
      <c r="L55" s="85">
        <f>'Table 1.3.3'!C55/'Table 1.3.3'!$B55</f>
        <v>0.11130257695621523</v>
      </c>
    </row>
    <row r="56" spans="1:12" ht="12.75" customHeight="1">
      <c r="A56" s="58">
        <v>1978</v>
      </c>
      <c r="B56" s="85">
        <f>'Table 1.1'!B55/(1000*'Table 1.3.1'!B56)</f>
        <v>8.2970381057455661E-2</v>
      </c>
      <c r="C56" s="85">
        <f>('Table 1.3.1'!$P56)/(1000*('Table 1.3.1'!N56))</f>
        <v>0.11260536931423007</v>
      </c>
      <c r="D56" s="85">
        <f>('Table 1.3.1'!$E56+'Table 1.3.1'!$L56)/(1000*('Table 1.3.1'!D56+'Table 1.3.1'!J56))</f>
        <v>0.12186060514827639</v>
      </c>
      <c r="E56" s="85">
        <f>'Table 1.3.1'!$E56/(1000*'Table 1.3.1'!C56)</f>
        <v>0.11259999172527928</v>
      </c>
      <c r="F56" s="85">
        <f>'Table 1.3.1'!$E56/(1000*'Table 1.3.1'!D56)</f>
        <v>0.12693758395522389</v>
      </c>
      <c r="G56" s="85">
        <f>'Table 1.3.1'!$L56/(1000*'Table 1.3.1'!F56)</f>
        <v>8.8699545150501671E-2</v>
      </c>
      <c r="H56" s="85">
        <f>'Table 1.3.1'!$L56/(1000*'Table 1.3.1'!G56)</f>
        <v>0.1126164076433121</v>
      </c>
      <c r="I56" s="85">
        <f>'Table 1.3.1'!$L56/(1000*'Table 1.3.1'!H56)</f>
        <v>8.8699545150501671E-2</v>
      </c>
      <c r="J56" s="85">
        <f>'Table 1.3.1'!$L56/(1000*'Table 1.3.1'!J56)</f>
        <v>0.1126164076433121</v>
      </c>
      <c r="K56" s="85">
        <f>'Table 1.3.3'!D56/'Table 1.3.3'!$B56</f>
        <v>0.10475389145982331</v>
      </c>
      <c r="L56" s="85">
        <f>'Table 1.3.3'!C56/'Table 1.3.3'!$B56</f>
        <v>0.11379890618426589</v>
      </c>
    </row>
    <row r="57" spans="1:12" ht="12.75" customHeight="1">
      <c r="A57" s="58">
        <v>1979</v>
      </c>
      <c r="B57" s="85">
        <f>'Table 1.1'!B56/(1000*'Table 1.3.1'!B57)</f>
        <v>8.4213365753580793E-2</v>
      </c>
      <c r="C57" s="85">
        <f>('Table 1.3.1'!$P57)/(1000*('Table 1.3.1'!N57))</f>
        <v>0.11577328646748683</v>
      </c>
      <c r="D57" s="85">
        <f>('Table 1.3.1'!$E57+'Table 1.3.1'!$L57)/(1000*('Table 1.3.1'!D57+'Table 1.3.1'!J57))</f>
        <v>0.12291749966679995</v>
      </c>
      <c r="E57" s="85">
        <f>'Table 1.3.1'!$E57/(1000*'Table 1.3.1'!C57)</f>
        <v>0.11604073028420855</v>
      </c>
      <c r="F57" s="85">
        <f>'Table 1.3.1'!$E57/(1000*'Table 1.3.1'!D57)</f>
        <v>0.12523347552305505</v>
      </c>
      <c r="G57" s="85">
        <f>'Table 1.3.1'!$L57/(1000*'Table 1.3.1'!F57)</f>
        <v>9.2841056787124204E-2</v>
      </c>
      <c r="H57" s="85">
        <f>'Table 1.3.1'!$L57/(1000*'Table 1.3.1'!G57)</f>
        <v>0.11523769317753488</v>
      </c>
      <c r="I57" s="85">
        <f>'Table 1.3.1'!$L57/(1000*'Table 1.3.1'!H57)</f>
        <v>9.4945838509316774E-2</v>
      </c>
      <c r="J57" s="85">
        <f>'Table 1.3.1'!$L57/(1000*'Table 1.3.1'!J57)</f>
        <v>0.11849829457364341</v>
      </c>
      <c r="K57" s="85">
        <f>'Table 1.3.3'!D57/'Table 1.3.3'!$B57</f>
        <v>0.10688895879207298</v>
      </c>
      <c r="L57" s="85">
        <f>'Table 1.3.3'!C57/'Table 1.3.3'!$B57</f>
        <v>0.11506763133060711</v>
      </c>
    </row>
    <row r="58" spans="1:12" ht="18" customHeight="1">
      <c r="A58" s="58">
        <v>1980</v>
      </c>
      <c r="B58" s="85">
        <f>'Table 1.1'!B57/(1000*'Table 1.3.1'!B58)</f>
        <v>8.9356855895196513E-2</v>
      </c>
      <c r="C58" s="85">
        <f>('Table 1.3.1'!$P58)/(1000*('Table 1.3.1'!N58))</f>
        <v>0.11799628130810456</v>
      </c>
      <c r="D58" s="85">
        <f>('Table 1.3.1'!$E58+'Table 1.3.1'!$L58)/(1000*('Table 1.3.1'!D58+'Table 1.3.1'!J58))</f>
        <v>0.13095897062393785</v>
      </c>
      <c r="E58" s="85">
        <f>'Table 1.3.1'!$E58/(1000*'Table 1.3.1'!C58)</f>
        <v>0.11729971903762312</v>
      </c>
      <c r="F58" s="85">
        <f>'Table 1.3.1'!$E58/(1000*'Table 1.3.1'!D58)</f>
        <v>0.13462512231282431</v>
      </c>
      <c r="G58" s="85">
        <f>'Table 1.3.1'!$L58/(1000*'Table 1.3.1'!F58)</f>
        <v>9.6628143679736767E-2</v>
      </c>
      <c r="H58" s="85">
        <f>'Table 1.3.1'!$L58/(1000*'Table 1.3.1'!G58)</f>
        <v>0.11945858983050847</v>
      </c>
      <c r="I58" s="85">
        <f>'Table 1.3.1'!$L58/(1000*'Table 1.3.1'!H58)</f>
        <v>9.957695394179146E-2</v>
      </c>
      <c r="J58" s="85">
        <f>'Table 1.3.1'!$L58/(1000*'Table 1.3.1'!J58)</f>
        <v>0.12399818437719916</v>
      </c>
      <c r="K58" s="85">
        <f>'Table 1.3.3'!D58/'Table 1.3.3'!$B58</f>
        <v>0.11142140658839622</v>
      </c>
      <c r="L58" s="85">
        <f>'Table 1.3.3'!C58/'Table 1.3.3'!$B58</f>
        <v>0.11917246095976292</v>
      </c>
    </row>
    <row r="59" spans="1:12" ht="12.75" customHeight="1">
      <c r="A59" s="58">
        <v>1981</v>
      </c>
      <c r="B59" s="85">
        <f>'Table 1.1'!B58/(1000*'Table 1.3.1'!B59)</f>
        <v>9.2416145006073064E-2</v>
      </c>
      <c r="C59" s="85">
        <f>('Table 1.3.1'!$P59)/(1000*('Table 1.3.1'!N59))</f>
        <v>0.12072349917563768</v>
      </c>
      <c r="D59" s="85">
        <f>('Table 1.3.1'!$E59+'Table 1.3.1'!$L59)/(1000*('Table 1.3.1'!D59+'Table 1.3.1'!J59))</f>
        <v>0.13204412856688238</v>
      </c>
      <c r="E59" s="85">
        <f>'Table 1.3.1'!$E59/(1000*'Table 1.3.1'!C59)</f>
        <v>0.11900370805606683</v>
      </c>
      <c r="F59" s="85">
        <f>'Table 1.3.1'!$E59/(1000*'Table 1.3.1'!D59)</f>
        <v>0.13399062490036664</v>
      </c>
      <c r="G59" s="85">
        <f>'Table 1.3.1'!$L59/(1000*'Table 1.3.1'!F59)</f>
        <v>0.10255119482496194</v>
      </c>
      <c r="H59" s="85">
        <f>'Table 1.3.1'!$L59/(1000*'Table 1.3.1'!G59)</f>
        <v>0.12446330357142858</v>
      </c>
      <c r="I59" s="85">
        <f>'Table 1.3.1'!$L59/(1000*'Table 1.3.1'!H59)</f>
        <v>0.10505634355509355</v>
      </c>
      <c r="J59" s="85">
        <f>'Table 1.3.1'!$L59/(1000*'Table 1.3.1'!J59)</f>
        <v>0.12817273620798986</v>
      </c>
      <c r="K59" s="85">
        <f>'Table 1.3.3'!D59/'Table 1.3.3'!$B59</f>
        <v>0.11814193548387097</v>
      </c>
      <c r="L59" s="85">
        <f>'Table 1.3.3'!C59/'Table 1.3.3'!$B59</f>
        <v>0.12614193548387098</v>
      </c>
    </row>
    <row r="60" spans="1:12" ht="12.75" customHeight="1">
      <c r="A60" s="58">
        <v>1982</v>
      </c>
      <c r="B60" s="85">
        <f>'Table 1.1'!B59/(1000*'Table 1.3.1'!B60)</f>
        <v>0.1000594917787743</v>
      </c>
      <c r="C60" s="85">
        <f>('Table 1.3.1'!$P60)/(1000*('Table 1.3.1'!N60))</f>
        <v>0.12123329817158932</v>
      </c>
      <c r="D60" s="85">
        <f>('Table 1.3.1'!$E60+'Table 1.3.1'!$L60)/(1000*('Table 1.3.1'!D60+'Table 1.3.1'!J60))</f>
        <v>0.14302084413564242</v>
      </c>
      <c r="E60" s="85">
        <f>'Table 1.3.1'!$E60/(1000*'Table 1.3.1'!C60)</f>
        <v>0.11946959626932414</v>
      </c>
      <c r="F60" s="85">
        <f>'Table 1.3.1'!$E60/(1000*'Table 1.3.1'!D60)</f>
        <v>0.14949456914468426</v>
      </c>
      <c r="G60" s="85">
        <f>'Table 1.3.1'!$L60/(1000*'Table 1.3.1'!F60)</f>
        <v>0.10542769943019942</v>
      </c>
      <c r="H60" s="85">
        <f>'Table 1.3.1'!$L60/(1000*'Table 1.3.1'!G60)</f>
        <v>0.12512298393913779</v>
      </c>
      <c r="I60" s="85">
        <f>'Table 1.3.1'!$L60/(1000*'Table 1.3.1'!H60)</f>
        <v>0.10961774129844482</v>
      </c>
      <c r="J60" s="85">
        <f>'Table 1.3.1'!$L60/(1000*'Table 1.3.1'!J60)</f>
        <v>0.1310689108618654</v>
      </c>
      <c r="K60" s="85">
        <f>'Table 1.3.3'!D60/'Table 1.3.3'!$B60</f>
        <v>0.12290852982303872</v>
      </c>
      <c r="L60" s="85">
        <f>'Table 1.3.3'!C60/'Table 1.3.3'!$B60</f>
        <v>0.13202179468633973</v>
      </c>
    </row>
    <row r="61" spans="1:12" ht="12.75" customHeight="1">
      <c r="A61" s="58">
        <v>1983</v>
      </c>
      <c r="B61" s="85">
        <f>'Table 1.1'!B60/(1000*'Table 1.3.1'!B61)</f>
        <v>0.10142299551963938</v>
      </c>
      <c r="C61" s="85">
        <f>('Table 1.3.1'!$P61)/(1000*('Table 1.3.1'!N61))</f>
        <v>0.12279782661584625</v>
      </c>
      <c r="D61" s="85">
        <f>('Table 1.3.1'!$E61+'Table 1.3.1'!$L61)/(1000*('Table 1.3.1'!D61+'Table 1.3.1'!J61))</f>
        <v>0.14774319445799589</v>
      </c>
      <c r="E61" s="85">
        <f>'Table 1.3.1'!$E61/(1000*'Table 1.3.1'!C61)</f>
        <v>0.12221792863871879</v>
      </c>
      <c r="F61" s="85">
        <f>'Table 1.3.1'!$E61/(1000*'Table 1.3.1'!D61)</f>
        <v>0.15967302307692308</v>
      </c>
      <c r="G61" s="85">
        <f>'Table 1.3.1'!$L61/(1000*'Table 1.3.1'!F61)</f>
        <v>0.10543279105799026</v>
      </c>
      <c r="H61" s="85">
        <f>'Table 1.3.1'!$L61/(1000*'Table 1.3.1'!G61)</f>
        <v>0.12408058088043762</v>
      </c>
      <c r="I61" s="85">
        <f>'Table 1.3.1'!$L61/(1000*'Table 1.3.1'!H61)</f>
        <v>0.10757573396567299</v>
      </c>
      <c r="J61" s="85">
        <f>'Table 1.3.1'!$L61/(1000*'Table 1.3.1'!J61)</f>
        <v>0.12705930914910643</v>
      </c>
      <c r="K61" s="85">
        <f>'Table 1.3.3'!D61/'Table 1.3.3'!$B61</f>
        <v>0.12556308768860705</v>
      </c>
      <c r="L61" s="85">
        <f>'Table 1.3.3'!C61/'Table 1.3.3'!$B61</f>
        <v>0.13496610540126833</v>
      </c>
    </row>
    <row r="62" spans="1:12" ht="12.75" customHeight="1">
      <c r="A62" s="58">
        <v>1984</v>
      </c>
      <c r="B62" s="85">
        <f>'Table 1.1'!B61/(1000*'Table 1.3.1'!B62)</f>
        <v>0.10060435073130893</v>
      </c>
      <c r="C62" s="85">
        <f>('Table 1.3.1'!$P62)/(1000*('Table 1.3.1'!N62))</f>
        <v>0.12509953826356823</v>
      </c>
      <c r="D62" s="85">
        <f>('Table 1.3.1'!$E62+'Table 1.3.1'!$L62)/(1000*('Table 1.3.1'!D62+'Table 1.3.1'!J62))</f>
        <v>0.14497280701754386</v>
      </c>
      <c r="E62" s="85">
        <f>'Table 1.3.1'!$E62/(1000*'Table 1.3.1'!C62)</f>
        <v>0.12676880952380953</v>
      </c>
      <c r="F62" s="85">
        <f>'Table 1.3.1'!$E62/(1000*'Table 1.3.1'!D62)</f>
        <v>0.15974355986603406</v>
      </c>
      <c r="G62" s="85">
        <f>'Table 1.3.1'!$L62/(1000*'Table 1.3.1'!F62)</f>
        <v>0.10358231035889071</v>
      </c>
      <c r="H62" s="85">
        <f>'Table 1.3.1'!$L62/(1000*'Table 1.3.1'!G62)</f>
        <v>0.12149429562305671</v>
      </c>
      <c r="I62" s="85">
        <f>'Table 1.3.1'!$L62/(1000*'Table 1.3.1'!H62)</f>
        <v>0.10247481339519871</v>
      </c>
      <c r="J62" s="85">
        <f>'Table 1.3.1'!$L62/(1000*'Table 1.3.1'!J62)</f>
        <v>0.11997346480869155</v>
      </c>
      <c r="K62" s="85">
        <f>'Table 1.3.3'!D62/'Table 1.3.3'!$B62</f>
        <v>0.12617084300696502</v>
      </c>
      <c r="L62" s="85">
        <f>'Table 1.3.3'!C62/'Table 1.3.3'!$B62</f>
        <v>0.13677848050596431</v>
      </c>
    </row>
    <row r="63" spans="1:12" ht="12.75" customHeight="1">
      <c r="A63" s="58">
        <v>1985</v>
      </c>
      <c r="B63" s="85">
        <f>'Table 1.1'!B62/(1000*'Table 1.3.1'!B63)</f>
        <v>0.10228633216002944</v>
      </c>
      <c r="C63" s="85">
        <f>('Table 1.3.1'!$P63)/(1000*('Table 1.3.1'!N63))</f>
        <v>0.12530071782005714</v>
      </c>
      <c r="D63" s="85">
        <f>('Table 1.3.1'!$E63+'Table 1.3.1'!$L63)/(1000*('Table 1.3.1'!D63+'Table 1.3.1'!J63))</f>
        <v>0.14449409306437355</v>
      </c>
      <c r="E63" s="85">
        <f>'Table 1.3.1'!$E63/(1000*'Table 1.3.1'!C63)</f>
        <v>0.1274378174889278</v>
      </c>
      <c r="F63" s="85">
        <f>'Table 1.3.1'!$E63/(1000*'Table 1.3.1'!D63)</f>
        <v>0.15830268295803479</v>
      </c>
      <c r="G63" s="85">
        <f>'Table 1.3.1'!$L63/(1000*'Table 1.3.1'!F63)</f>
        <v>0.10378493706034801</v>
      </c>
      <c r="H63" s="85">
        <f>'Table 1.3.1'!$L63/(1000*'Table 1.3.1'!G63)</f>
        <v>0.12082892887931033</v>
      </c>
      <c r="I63" s="85">
        <f>'Table 1.3.1'!$L63/(1000*'Table 1.3.1'!H63)</f>
        <v>0.10403529968454259</v>
      </c>
      <c r="J63" s="85">
        <f>'Table 1.3.1'!$L63/(1000*'Table 1.3.1'!J63)</f>
        <v>0.12116840933650314</v>
      </c>
      <c r="K63" s="85">
        <f>'Table 1.3.3'!D63/'Table 1.3.3'!$B63</f>
        <v>0.1268226392918794</v>
      </c>
      <c r="L63" s="85">
        <f>'Table 1.3.3'!C63/'Table 1.3.3'!$B63</f>
        <v>0.13725346163734528</v>
      </c>
    </row>
    <row r="64" spans="1:12" ht="12.75" customHeight="1">
      <c r="A64" s="58">
        <v>1986</v>
      </c>
      <c r="B64" s="85">
        <f>'Table 1.1'!B63/(1000*'Table 1.3.1'!B64)</f>
        <v>0.10389577569116142</v>
      </c>
      <c r="C64" s="85">
        <f>('Table 1.3.1'!$P64)/(1000*('Table 1.3.1'!N64))</f>
        <v>0.12816118935837248</v>
      </c>
      <c r="D64" s="85">
        <f>('Table 1.3.1'!$E64+'Table 1.3.1'!$L64)/(1000*('Table 1.3.1'!D64+'Table 1.3.1'!J64))</f>
        <v>0.14870848150109711</v>
      </c>
      <c r="E64" s="85">
        <f>'Table 1.3.1'!$E64/(1000*'Table 1.3.1'!C64)</f>
        <v>0.12941169611650488</v>
      </c>
      <c r="F64" s="85">
        <f>'Table 1.3.1'!$E64/(1000*'Table 1.3.1'!D64)</f>
        <v>0.16170574669416476</v>
      </c>
      <c r="G64" s="85">
        <f>'Table 1.3.1'!$L64/(1000*'Table 1.3.1'!F64)</f>
        <v>0.10794189931740615</v>
      </c>
      <c r="H64" s="85">
        <f>'Table 1.3.1'!$L64/(1000*'Table 1.3.1'!G64)</f>
        <v>0.12560356036536935</v>
      </c>
      <c r="I64" s="85">
        <f>'Table 1.3.1'!$L64/(1000*'Table 1.3.1'!H64)</f>
        <v>0.10909615902035184</v>
      </c>
      <c r="J64" s="85">
        <f>'Table 1.3.1'!$L64/(1000*'Table 1.3.1'!J64)</f>
        <v>0.12716918576598313</v>
      </c>
      <c r="K64" s="85">
        <f>'Table 1.3.3'!D64/'Table 1.3.3'!$B64</f>
        <v>0.13055478884902014</v>
      </c>
      <c r="L64" s="85">
        <f>'Table 1.3.3'!C64/'Table 1.3.3'!$B64</f>
        <v>0.13938724813690312</v>
      </c>
    </row>
    <row r="65" spans="1:12" ht="12.75" customHeight="1">
      <c r="A65" s="58">
        <v>1987</v>
      </c>
      <c r="B65" s="85">
        <f>'Table 1.1'!B64/(1000*'Table 1.3.1'!B65)</f>
        <v>0.10659048909695701</v>
      </c>
      <c r="C65" s="85">
        <f>('Table 1.3.1'!$P65)/(1000*('Table 1.3.1'!N65))</f>
        <v>0.13383888612630532</v>
      </c>
      <c r="D65" s="85">
        <f>('Table 1.3.1'!$E65+'Table 1.3.1'!$L65)/(1000*('Table 1.3.1'!D65+'Table 1.3.1'!J65))</f>
        <v>0.15003832485541077</v>
      </c>
      <c r="E65" s="85">
        <f>'Table 1.3.1'!$E65/(1000*'Table 1.3.1'!C65)</f>
        <v>0.13645875341304961</v>
      </c>
      <c r="F65" s="85">
        <f>'Table 1.3.1'!$E65/(1000*'Table 1.3.1'!D65)</f>
        <v>0.15993471860516442</v>
      </c>
      <c r="G65" s="85">
        <f>'Table 1.3.1'!$L65/(1000*'Table 1.3.1'!F65)</f>
        <v>0.11260143657014877</v>
      </c>
      <c r="H65" s="85">
        <f>'Table 1.3.1'!$L65/(1000*'Table 1.3.1'!G65)</f>
        <v>0.12874914578379365</v>
      </c>
      <c r="I65" s="85">
        <f>'Table 1.3.1'!$L65/(1000*'Table 1.3.1'!H65)</f>
        <v>0.11590179153630824</v>
      </c>
      <c r="J65" s="85">
        <f>'Table 1.3.1'!$L65/(1000*'Table 1.3.1'!J65)</f>
        <v>0.13308216676120249</v>
      </c>
      <c r="K65" s="85">
        <f>'Table 1.3.3'!D65/'Table 1.3.3'!$B65</f>
        <v>0.13579767795349437</v>
      </c>
      <c r="L65" s="85">
        <f>'Table 1.3.3'!C65/'Table 1.3.3'!$B65</f>
        <v>0.14343003137026616</v>
      </c>
    </row>
    <row r="66" spans="1:12" ht="12.75" customHeight="1">
      <c r="A66" s="58">
        <v>1988</v>
      </c>
      <c r="B66" s="85">
        <f>'Table 1.1'!B65/(1000*'Table 1.3.1'!B66)</f>
        <v>0.11074477401667746</v>
      </c>
      <c r="C66" s="85">
        <f>('Table 1.3.1'!$P66)/(1000*('Table 1.3.1'!N66))</f>
        <v>0.13694286217628754</v>
      </c>
      <c r="D66" s="85">
        <f>('Table 1.3.1'!$E66+'Table 1.3.1'!$L66)/(1000*('Table 1.3.1'!D66+'Table 1.3.1'!J66))</f>
        <v>0.15179326954370892</v>
      </c>
      <c r="E66" s="85">
        <f>'Table 1.3.1'!$E66/(1000*'Table 1.3.1'!C66)</f>
        <v>0.1396017518770111</v>
      </c>
      <c r="F66" s="85">
        <f>'Table 1.3.1'!$E66/(1000*'Table 1.3.1'!D66)</f>
        <v>0.1611664843669384</v>
      </c>
      <c r="G66" s="85">
        <f>'Table 1.3.1'!$L66/(1000*'Table 1.3.1'!F66)</f>
        <v>0.11497993430874888</v>
      </c>
      <c r="H66" s="85">
        <f>'Table 1.3.1'!$L66/(1000*'Table 1.3.1'!G66)</f>
        <v>0.13184995719910977</v>
      </c>
      <c r="I66" s="85">
        <f>'Table 1.3.1'!$L66/(1000*'Table 1.3.1'!H66)</f>
        <v>0.11795613417062337</v>
      </c>
      <c r="J66" s="85">
        <f>'Table 1.3.1'!$L66/(1000*'Table 1.3.1'!J66)</f>
        <v>0.13577849083215798</v>
      </c>
      <c r="K66" s="85">
        <f>'Table 1.3.3'!D66/'Table 1.3.3'!$B66</f>
        <v>0.1406376049478622</v>
      </c>
      <c r="L66" s="85">
        <f>'Table 1.3.3'!C66/'Table 1.3.3'!$B66</f>
        <v>0.14933221787325585</v>
      </c>
    </row>
    <row r="67" spans="1:12" ht="12.75" customHeight="1">
      <c r="A67" s="58">
        <v>1989</v>
      </c>
      <c r="B67" s="85">
        <f>'Table 1.1'!B66/(1000*'Table 1.3.1'!B67)</f>
        <v>0.11443961327041023</v>
      </c>
      <c r="C67" s="85">
        <f>('Table 1.3.1'!$P67)/(1000*('Table 1.3.1'!N67))</f>
        <v>0.14118014446315102</v>
      </c>
      <c r="D67" s="85">
        <f>('Table 1.3.1'!$E67+'Table 1.3.1'!$L67)/(1000*('Table 1.3.1'!D67+'Table 1.3.1'!J67))</f>
        <v>0.15640154022020333</v>
      </c>
      <c r="E67" s="85">
        <f>'Table 1.3.1'!$E67/(1000*'Table 1.3.1'!C67)</f>
        <v>0.14583926513569936</v>
      </c>
      <c r="F67" s="85">
        <f>'Table 1.3.1'!$E67/(1000*'Table 1.3.1'!D67)</f>
        <v>0.16637374487948936</v>
      </c>
      <c r="G67" s="85">
        <f>'Table 1.3.1'!$L67/(1000*'Table 1.3.1'!F67)</f>
        <v>0.11597672648178359</v>
      </c>
      <c r="H67" s="85">
        <f>'Table 1.3.1'!$L67/(1000*'Table 1.3.1'!G67)</f>
        <v>0.1325139484311898</v>
      </c>
      <c r="I67" s="85">
        <f>'Table 1.3.1'!$L67/(1000*'Table 1.3.1'!H67)</f>
        <v>0.12114808293098553</v>
      </c>
      <c r="J67" s="85">
        <f>'Table 1.3.1'!$L67/(1000*'Table 1.3.1'!J67)</f>
        <v>0.13930842586544742</v>
      </c>
      <c r="K67" s="85">
        <f>'Table 1.3.3'!D67/'Table 1.3.3'!$B67</f>
        <v>0.14445557782231128</v>
      </c>
      <c r="L67" s="85">
        <f>'Table 1.3.3'!C67/'Table 1.3.3'!$B67</f>
        <v>0.15464261857047429</v>
      </c>
    </row>
    <row r="68" spans="1:12" ht="18" customHeight="1">
      <c r="A68" s="58">
        <v>1990</v>
      </c>
      <c r="B68" s="85">
        <f>'Table 1.1'!B67/(1000*'Table 1.3.1'!B68)</f>
        <v>0.12112482440297009</v>
      </c>
      <c r="C68" s="85">
        <f>('Table 1.3.1'!$P68)/(1000*('Table 1.3.1'!N68))</f>
        <v>0.14648235648939378</v>
      </c>
      <c r="D68" s="85">
        <f>('Table 1.3.1'!$E68+'Table 1.3.1'!$L68)/(1000*('Table 1.3.1'!D68+'Table 1.3.1'!J68))</f>
        <v>0.1667593705293276</v>
      </c>
      <c r="E68" s="85">
        <f>'Table 1.3.1'!$E68/(1000*'Table 1.3.1'!C68)</f>
        <v>0.15180497435100265</v>
      </c>
      <c r="F68" s="85">
        <f>'Table 1.3.1'!$E68/(1000*'Table 1.3.1'!D68)</f>
        <v>0.17799351134603117</v>
      </c>
      <c r="G68" s="85">
        <f>'Table 1.3.1'!$L68/(1000*'Table 1.3.1'!F68)</f>
        <v>0.11905317145688801</v>
      </c>
      <c r="H68" s="85">
        <f>'Table 1.3.1'!$L68/(1000*'Table 1.3.1'!G68)</f>
        <v>0.13673836084234489</v>
      </c>
      <c r="I68" s="85">
        <f>'Table 1.3.1'!$L68/(1000*'Table 1.3.1'!H68)</f>
        <v>0.12735186853962363</v>
      </c>
      <c r="J68" s="85">
        <f>'Table 1.3.1'!$L68/(1000*'Table 1.3.1'!J68)</f>
        <v>0.1478002460781298</v>
      </c>
      <c r="K68" s="85">
        <f>'Table 1.3.3'!D68/'Table 1.3.3'!$B68</f>
        <v>0.15257737348389797</v>
      </c>
      <c r="L68" s="85">
        <f>'Table 1.3.3'!C68/'Table 1.3.3'!$B68</f>
        <v>0.16392199916352992</v>
      </c>
    </row>
    <row r="69" spans="1:12" ht="12.75" customHeight="1">
      <c r="A69" s="58">
        <v>1991</v>
      </c>
      <c r="B69" s="85">
        <f>'Table 1.1'!B68/(1000*'Table 1.3.1'!B69)</f>
        <v>0.12820294784580499</v>
      </c>
      <c r="C69" s="85">
        <f>('Table 1.3.1'!$P69)/(1000*('Table 1.3.1'!N69))</f>
        <v>0.15701050030883262</v>
      </c>
      <c r="D69" s="85">
        <f>('Table 1.3.1'!$E69+'Table 1.3.1'!$L69)/(1000*('Table 1.3.1'!D69+'Table 1.3.1'!J69))</f>
        <v>0.18380332610267536</v>
      </c>
      <c r="E69" s="85">
        <f>'Table 1.3.1'!$E69/(1000*'Table 1.3.1'!C69)</f>
        <v>0.16630567983429503</v>
      </c>
      <c r="F69" s="85">
        <f>'Table 1.3.1'!$E69/(1000*'Table 1.3.1'!D69)</f>
        <v>0.20133621529643561</v>
      </c>
      <c r="G69" s="85">
        <f>'Table 1.3.1'!$L69/(1000*'Table 1.3.1'!F69)</f>
        <v>0.1204789394457749</v>
      </c>
      <c r="H69" s="85">
        <f>'Table 1.3.1'!$L69/(1000*'Table 1.3.1'!G69)</f>
        <v>0.14032139992030815</v>
      </c>
      <c r="I69" s="85">
        <f>'Table 1.3.1'!$L69/(1000*'Table 1.3.1'!H69)</f>
        <v>0.13119083819694524</v>
      </c>
      <c r="J69" s="85">
        <f>'Table 1.3.1'!$L69/(1000*'Table 1.3.1'!J69)</f>
        <v>0.15506822545134302</v>
      </c>
      <c r="K69" s="85">
        <f>'Table 1.3.3'!D69/'Table 1.3.3'!$B69</f>
        <v>0.16120397959699007</v>
      </c>
      <c r="L69" s="85">
        <f>'Table 1.3.3'!C69/'Table 1.3.3'!$B69</f>
        <v>0.17261754456845615</v>
      </c>
    </row>
    <row r="70" spans="1:12" ht="12.75" customHeight="1">
      <c r="A70" s="58">
        <v>1992</v>
      </c>
      <c r="B70" s="85">
        <f>'Table 1.1'!B69/(1000*'Table 1.3.1'!B70)</f>
        <v>0.13119294114048904</v>
      </c>
      <c r="C70" s="85">
        <f>('Table 1.3.1'!$P70)/(1000*('Table 1.3.1'!N70))</f>
        <v>0.16106360655737706</v>
      </c>
      <c r="D70" s="85">
        <f>('Table 1.3.1'!$E70+'Table 1.3.1'!$L70)/(1000*('Table 1.3.1'!D70+'Table 1.3.1'!J70))</f>
        <v>0.19553815943105826</v>
      </c>
      <c r="E70" s="85">
        <f>'Table 1.3.1'!$E70/(1000*'Table 1.3.1'!C70)</f>
        <v>0.17153707819761568</v>
      </c>
      <c r="F70" s="85">
        <f>'Table 1.3.1'!$E70/(1000*'Table 1.3.1'!D70)</f>
        <v>0.2189110366168128</v>
      </c>
      <c r="G70" s="85">
        <f>'Table 1.3.1'!$L70/(1000*'Table 1.3.1'!F70)</f>
        <v>0.12043610375860243</v>
      </c>
      <c r="H70" s="85">
        <f>'Table 1.3.1'!$L70/(1000*'Table 1.3.1'!G70)</f>
        <v>0.1416939461883408</v>
      </c>
      <c r="I70" s="85">
        <f>'Table 1.3.1'!$L70/(1000*'Table 1.3.1'!H70)</f>
        <v>0.1318862608695652</v>
      </c>
      <c r="J70" s="85">
        <f>'Table 1.3.1'!$L70/(1000*'Table 1.3.1'!J70)</f>
        <v>0.15781340177580466</v>
      </c>
      <c r="K70" s="85">
        <f>'Table 1.3.3'!D70/'Table 1.3.3'!$B70</f>
        <v>0.16614085442512513</v>
      </c>
      <c r="L70" s="85">
        <f>'Table 1.3.3'!C70/'Table 1.3.3'!$B70</f>
        <v>0.178025001779064</v>
      </c>
    </row>
    <row r="71" spans="1:12" ht="12.75" customHeight="1">
      <c r="A71" s="58">
        <v>1993</v>
      </c>
      <c r="B71" s="85">
        <f>'Table 1.1'!B70/(1000*'Table 1.3.1'!B71)</f>
        <v>0.13396310349339266</v>
      </c>
      <c r="C71" s="85">
        <f>('Table 1.3.1'!$P71)/(1000*('Table 1.3.1'!N71))</f>
        <v>0.17159297267621101</v>
      </c>
      <c r="D71" s="85">
        <f>('Table 1.3.1'!$E71+'Table 1.3.1'!$L71)/(1000*('Table 1.3.1'!D71+'Table 1.3.1'!J71))</f>
        <v>0.20404509616833225</v>
      </c>
      <c r="E71" s="85">
        <f>'Table 1.3.1'!$E71/(1000*'Table 1.3.1'!C71)</f>
        <v>0.18289362456185901</v>
      </c>
      <c r="F71" s="85">
        <f>'Table 1.3.1'!$E71/(1000*'Table 1.3.1'!D71)</f>
        <v>0.22691947974551019</v>
      </c>
      <c r="G71" s="85">
        <f>'Table 1.3.1'!$L71/(1000*'Table 1.3.1'!F71)</f>
        <v>0.12670303357070192</v>
      </c>
      <c r="H71" s="85">
        <f>'Table 1.3.1'!$L71/(1000*'Table 1.3.1'!G71)</f>
        <v>0.15054887223498126</v>
      </c>
      <c r="I71" s="85">
        <f>'Table 1.3.1'!$L71/(1000*'Table 1.3.1'!H71)</f>
        <v>0.1375776891638131</v>
      </c>
      <c r="J71" s="85">
        <f>'Table 1.3.1'!$L71/(1000*'Table 1.3.1'!J71)</f>
        <v>0.16615405816435433</v>
      </c>
      <c r="K71" s="85">
        <f>'Table 1.3.3'!D71/'Table 1.3.3'!$B71</f>
        <v>0.16589129948557371</v>
      </c>
      <c r="L71" s="85">
        <f>'Table 1.3.3'!C71/'Table 1.3.3'!$B71</f>
        <v>0.17841646164169089</v>
      </c>
    </row>
    <row r="72" spans="1:12" ht="12.75" customHeight="1">
      <c r="A72" s="58">
        <v>1994</v>
      </c>
      <c r="B72" s="85">
        <f>'Table 1.1'!B71/(1000*'Table 1.3.1'!B72)</f>
        <v>0.1330861849576532</v>
      </c>
      <c r="C72" s="85">
        <f>('Table 1.3.1'!$P72)/(1000*('Table 1.3.1'!N72))</f>
        <v>0.18081742755548288</v>
      </c>
      <c r="D72" s="85">
        <f>('Table 1.3.1'!$E72+'Table 1.3.1'!$L72)/(1000*('Table 1.3.1'!D72+'Table 1.3.1'!J72))</f>
        <v>0.20682842449742869</v>
      </c>
      <c r="E72" s="85">
        <f>'Table 1.3.1'!$E72/(1000*'Table 1.3.1'!C72)</f>
        <v>0.19383181283219439</v>
      </c>
      <c r="F72" s="85">
        <f>'Table 1.3.1'!$E72/(1000*'Table 1.3.1'!D72)</f>
        <v>0.22829914815918917</v>
      </c>
      <c r="G72" s="85">
        <f>'Table 1.3.1'!$L72/(1000*'Table 1.3.1'!F72)</f>
        <v>0.13171445455425421</v>
      </c>
      <c r="H72" s="85">
        <f>'Table 1.3.1'!$L72/(1000*'Table 1.3.1'!G72)</f>
        <v>0.15707515064065566</v>
      </c>
      <c r="I72" s="85">
        <f>'Table 1.3.1'!$L72/(1000*'Table 1.3.1'!H72)</f>
        <v>0.1411558122406639</v>
      </c>
      <c r="J72" s="85">
        <f>'Table 1.3.1'!$L72/(1000*'Table 1.3.1'!J72)</f>
        <v>0.17069016934269945</v>
      </c>
      <c r="K72" s="85">
        <f>'Table 1.3.3'!D72/'Table 1.3.3'!$B72</f>
        <v>0.16450116009280741</v>
      </c>
      <c r="L72" s="85">
        <f>'Table 1.3.3'!C72/'Table 1.3.3'!$B72</f>
        <v>0.17700906981649439</v>
      </c>
    </row>
    <row r="73" spans="1:12" ht="12.75" customHeight="1">
      <c r="A73" s="58">
        <v>1995</v>
      </c>
      <c r="B73" s="85">
        <f>'Table 1.1'!B72/(1000*'Table 1.3.1'!B73)</f>
        <v>0.13405949895615865</v>
      </c>
      <c r="C73" s="85">
        <f>('Table 1.3.1'!$P73)/(1000*('Table 1.3.1'!N73))</f>
        <v>0.18365642882167466</v>
      </c>
      <c r="D73" s="85">
        <f>('Table 1.3.1'!$E73+'Table 1.3.1'!$L73)/(1000*('Table 1.3.1'!D73+'Table 1.3.1'!J73))</f>
        <v>0.20825204149194437</v>
      </c>
      <c r="E73" s="85">
        <f>'Table 1.3.1'!$E73/(1000*'Table 1.3.1'!C73)</f>
        <v>0.19922757211102377</v>
      </c>
      <c r="F73" s="85">
        <f>'Table 1.3.1'!$E73/(1000*'Table 1.3.1'!D73)</f>
        <v>0.23074844936265584</v>
      </c>
      <c r="G73" s="85">
        <f>'Table 1.3.1'!$L73/(1000*'Table 1.3.1'!F73)</f>
        <v>0.13061609984399375</v>
      </c>
      <c r="H73" s="85">
        <f>'Table 1.3.1'!$L73/(1000*'Table 1.3.1'!G73)</f>
        <v>0.15552050262237763</v>
      </c>
      <c r="I73" s="85">
        <f>'Table 1.3.1'!$L73/(1000*'Table 1.3.1'!H73)</f>
        <v>0.14061683856945267</v>
      </c>
      <c r="J73" s="85">
        <f>'Table 1.3.1'!$L73/(1000*'Table 1.3.1'!J73)</f>
        <v>0.16990851617524175</v>
      </c>
      <c r="K73" s="85">
        <f>'Table 1.3.3'!D73/'Table 1.3.3'!$B73</f>
        <v>0.16572368685044742</v>
      </c>
      <c r="L73" s="85">
        <f>'Table 1.3.3'!C73/'Table 1.3.3'!$B73</f>
        <v>0.17816299506440353</v>
      </c>
    </row>
    <row r="74" spans="1:12" ht="12.75" customHeight="1">
      <c r="A74" s="58">
        <v>1996</v>
      </c>
      <c r="B74" s="85">
        <f>'Table 1.1'!B73/(1000*'Table 1.3.1'!B74)</f>
        <v>0.13355830720229131</v>
      </c>
      <c r="C74" s="85">
        <f>('Table 1.3.1'!$P74)/(1000*('Table 1.3.1'!N74))</f>
        <v>0.18650858175248419</v>
      </c>
      <c r="D74" s="85">
        <f>('Table 1.3.1'!$E74+'Table 1.3.1'!$L74)/(1000*('Table 1.3.1'!D74+'Table 1.3.1'!J74))</f>
        <v>0.20362276556400247</v>
      </c>
      <c r="E74" s="85">
        <f>'Table 1.3.1'!$E74/(1000*'Table 1.3.1'!C74)</f>
        <v>0.20427598409077619</v>
      </c>
      <c r="F74" s="85">
        <f>'Table 1.3.1'!$E74/(1000*'Table 1.3.1'!D74)</f>
        <v>0.22552670153687202</v>
      </c>
      <c r="G74" s="85">
        <f>'Table 1.3.1'!$L74/(1000*'Table 1.3.1'!F74)</f>
        <v>0.12959892787524366</v>
      </c>
      <c r="H74" s="85">
        <f>'Table 1.3.1'!$L74/(1000*'Table 1.3.1'!G74)</f>
        <v>0.15443495934959353</v>
      </c>
      <c r="I74" s="85">
        <f>'Table 1.3.1'!$L74/(1000*'Table 1.3.1'!H74)</f>
        <v>0.13715805513878471</v>
      </c>
      <c r="J74" s="85">
        <f>'Table 1.3.1'!$L74/(1000*'Table 1.3.1'!J74)</f>
        <v>0.16529025878630352</v>
      </c>
      <c r="K74" s="85">
        <f>'Table 1.3.3'!D74/'Table 1.3.3'!$B74</f>
        <v>0.16482223192422313</v>
      </c>
      <c r="L74" s="85">
        <f>'Table 1.3.3'!C74/'Table 1.3.3'!$B74</f>
        <v>0.17752130749226475</v>
      </c>
    </row>
    <row r="75" spans="1:12" ht="12.75" customHeight="1">
      <c r="A75" s="58">
        <v>1997</v>
      </c>
      <c r="B75" s="85">
        <f>'Table 1.1'!B74/(1000*'Table 1.3.1'!B75)</f>
        <v>0.13273171865017133</v>
      </c>
      <c r="C75" s="85">
        <f>('Table 1.3.1'!$P75)/(1000*('Table 1.3.1'!N75))</f>
        <v>0.189711338703211</v>
      </c>
      <c r="D75" s="85">
        <f>('Table 1.3.1'!$E75+'Table 1.3.1'!$L75)/(1000*('Table 1.3.1'!D75+'Table 1.3.1'!J75))</f>
        <v>0.19904057206225384</v>
      </c>
      <c r="E75" s="85">
        <f>'Table 1.3.1'!$E75/(1000*'Table 1.3.1'!C75)</f>
        <v>0.2086679826563213</v>
      </c>
      <c r="F75" s="85">
        <f>'Table 1.3.1'!$E75/(1000*'Table 1.3.1'!D75)</f>
        <v>0.21742553798597075</v>
      </c>
      <c r="G75" s="85">
        <f>'Table 1.3.1'!$L75/(1000*'Table 1.3.1'!F75)</f>
        <v>0.13126188295165395</v>
      </c>
      <c r="H75" s="85">
        <f>'Table 1.3.1'!$L75/(1000*'Table 1.3.1'!G75)</f>
        <v>0.15617898879806238</v>
      </c>
      <c r="I75" s="85">
        <f>'Table 1.3.1'!$L75/(1000*'Table 1.3.1'!H75)</f>
        <v>0.13805330954504907</v>
      </c>
      <c r="J75" s="85">
        <f>'Table 1.3.1'!$L75/(1000*'Table 1.3.1'!J75)</f>
        <v>0.16588890556329725</v>
      </c>
      <c r="K75" s="85">
        <f>'Table 1.3.3'!D75/'Table 1.3.3'!$B75</f>
        <v>0.16542881291923678</v>
      </c>
      <c r="L75" s="85">
        <f>'Table 1.3.3'!C75/'Table 1.3.3'!$B75</f>
        <v>0.17864657327314906</v>
      </c>
    </row>
    <row r="76" spans="1:12" ht="12.75" customHeight="1">
      <c r="A76" s="58">
        <v>1998</v>
      </c>
      <c r="B76" s="85">
        <f>'Table 1.1'!B75/(1000*'Table 1.3.1'!B76)</f>
        <v>0.13300909881066333</v>
      </c>
      <c r="C76" s="85">
        <f>('Table 1.3.1'!$P76)/(1000*('Table 1.3.1'!N76))</f>
        <v>0.19052753190430483</v>
      </c>
      <c r="D76" s="85">
        <f>('Table 1.3.1'!$E76+'Table 1.3.1'!$L76)/(1000*('Table 1.3.1'!D76+'Table 1.3.1'!J76))</f>
        <v>0.19191241764537381</v>
      </c>
      <c r="E76" s="85">
        <f>'Table 1.3.1'!$E76/(1000*'Table 1.3.1'!C76)</f>
        <v>0.20935691184727678</v>
      </c>
      <c r="F76" s="85">
        <f>'Table 1.3.1'!$E76/(1000*'Table 1.3.1'!D76)</f>
        <v>0.20612784565205372</v>
      </c>
      <c r="G76" s="85">
        <f>'Table 1.3.1'!$L76/(1000*'Table 1.3.1'!F76)</f>
        <v>0.1322964879552275</v>
      </c>
      <c r="H76" s="85">
        <f>'Table 1.3.1'!$L76/(1000*'Table 1.3.1'!G76)</f>
        <v>0.15803540354616799</v>
      </c>
      <c r="I76" s="85">
        <f>'Table 1.3.1'!$L76/(1000*'Table 1.3.1'!H76)</f>
        <v>0.13767902422554232</v>
      </c>
      <c r="J76" s="85">
        <f>'Table 1.3.1'!$L76/(1000*'Table 1.3.1'!J76)</f>
        <v>0.16577735542229899</v>
      </c>
      <c r="K76" s="85">
        <f>'Table 1.3.3'!D76/'Table 1.3.3'!$B76</f>
        <v>0.16596645773335592</v>
      </c>
      <c r="L76" s="85">
        <f>'Table 1.3.3'!C76/'Table 1.3.3'!$B76</f>
        <v>0.17965441301033372</v>
      </c>
    </row>
    <row r="77" spans="1:12" ht="12.75" customHeight="1">
      <c r="A77" s="58">
        <v>1999</v>
      </c>
      <c r="B77" s="85">
        <f>'Table 1.1'!B76/(1000*'Table 1.3.1'!B77)</f>
        <v>0.13309496466888068</v>
      </c>
      <c r="C77" s="85">
        <f>('Table 1.3.1'!$P77)/(1000*('Table 1.3.1'!N77))</f>
        <v>0.19191895842540027</v>
      </c>
      <c r="D77" s="85">
        <f>('Table 1.3.1'!$E77+'Table 1.3.1'!$L77)/(1000*('Table 1.3.1'!D77+'Table 1.3.1'!J77))</f>
        <v>0.18995592342115003</v>
      </c>
      <c r="E77" s="85">
        <f>'Table 1.3.1'!$E77/(1000*'Table 1.3.1'!C77)</f>
        <v>0.21314018209573657</v>
      </c>
      <c r="F77" s="85">
        <f>'Table 1.3.1'!$E77/(1000*'Table 1.3.1'!D77)</f>
        <v>0.20261296812645763</v>
      </c>
      <c r="G77" s="85">
        <f>'Table 1.3.1'!$L77/(1000*'Table 1.3.1'!F77)</f>
        <v>0.13087079068365115</v>
      </c>
      <c r="H77" s="85">
        <f>'Table 1.3.1'!$L77/(1000*'Table 1.3.1'!G77)</f>
        <v>0.15677316297968397</v>
      </c>
      <c r="I77" s="85">
        <f>'Table 1.3.1'!$L77/(1000*'Table 1.3.1'!H77)</f>
        <v>0.13760205896338562</v>
      </c>
      <c r="J77" s="85">
        <f>'Table 1.3.1'!$L77/(1000*'Table 1.3.1'!J77)</f>
        <v>0.16653201419528105</v>
      </c>
      <c r="K77" s="85">
        <f>'Table 1.3.3'!D77/'Table 1.3.3'!$B77</f>
        <v>0.16357707103167693</v>
      </c>
      <c r="L77" s="85">
        <f>'Table 1.3.3'!C77/'Table 1.3.3'!$B77</f>
        <v>0.17714385220598713</v>
      </c>
    </row>
    <row r="78" spans="1:12" ht="18" customHeight="1">
      <c r="A78" s="58">
        <v>2000</v>
      </c>
      <c r="B78" s="85">
        <f>'Table 1.1'!B77/(1000*'Table 1.3.1'!B78)</f>
        <v>0.1338404423841317</v>
      </c>
      <c r="C78" s="85">
        <f>('Table 1.3.1'!$P78)/(1000*('Table 1.3.1'!N78))</f>
        <v>0.19558929091085459</v>
      </c>
      <c r="D78" s="85">
        <f>('Table 1.3.1'!$E78+'Table 1.3.1'!$L78)/(1000*('Table 1.3.1'!D78+'Table 1.3.1'!J78))</f>
        <v>0.18870659803462797</v>
      </c>
      <c r="E78" s="85">
        <f>'Table 1.3.1'!$E78/(1000*'Table 1.3.1'!C78)</f>
        <v>0.21951831174959369</v>
      </c>
      <c r="F78" s="85">
        <f>'Table 1.3.1'!$E78/(1000*'Table 1.3.1'!D78)</f>
        <v>0.20020431119399415</v>
      </c>
      <c r="G78" s="85">
        <f>'Table 1.3.1'!$L78/(1000*'Table 1.3.1'!F78)</f>
        <v>0.13127368628833275</v>
      </c>
      <c r="H78" s="85">
        <f>'Table 1.3.1'!$L78/(1000*'Table 1.3.1'!G78)</f>
        <v>0.15708766998481524</v>
      </c>
      <c r="I78" s="85">
        <f>'Table 1.3.1'!$L78/(1000*'Table 1.3.1'!H78)</f>
        <v>0.13821103243524085</v>
      </c>
      <c r="J78" s="85">
        <f>'Table 1.3.1'!$L78/(1000*'Table 1.3.1'!J78)</f>
        <v>0.16712594148267815</v>
      </c>
      <c r="K78" s="85">
        <f>'Table 1.3.3'!D78/'Table 1.3.3'!$B78</f>
        <v>0.16313808515643377</v>
      </c>
      <c r="L78" s="85">
        <f>'Table 1.3.3'!C78/'Table 1.3.3'!$B78</f>
        <v>0.17701717243001647</v>
      </c>
    </row>
    <row r="79" spans="1:12" ht="12.75" customHeight="1">
      <c r="A79" s="58">
        <v>2001</v>
      </c>
      <c r="B79" s="85">
        <f>'Table 1.1'!B78/(1000*'Table 1.3.1'!B79)</f>
        <v>0.14054633751517603</v>
      </c>
      <c r="C79" s="85">
        <f>('Table 1.3.1'!$P79)/(1000*('Table 1.3.1'!N79))</f>
        <v>0.20291927532286846</v>
      </c>
      <c r="D79" s="85">
        <f>('Table 1.3.1'!$E79+'Table 1.3.1'!$L79)/(1000*('Table 1.3.1'!D79+'Table 1.3.1'!J79))</f>
        <v>0.20979767972732102</v>
      </c>
      <c r="E79" s="85">
        <f>'Table 1.3.1'!$E79/(1000*'Table 1.3.1'!C79)</f>
        <v>0.23175542527821941</v>
      </c>
      <c r="F79" s="85">
        <f>'Table 1.3.1'!$E79/(1000*'Table 1.3.1'!D79)</f>
        <v>0.22701835701771458</v>
      </c>
      <c r="G79" s="85">
        <f>'Table 1.3.1'!$L79/(1000*'Table 1.3.1'!F79)</f>
        <v>0.13148615899151017</v>
      </c>
      <c r="H79" s="85">
        <f>'Table 1.3.1'!$L79/(1000*'Table 1.3.1'!G79)</f>
        <v>0.1580476845767298</v>
      </c>
      <c r="I79" s="85">
        <f>'Table 1.3.1'!$L79/(1000*'Table 1.3.1'!H79)</f>
        <v>0.14556727428083166</v>
      </c>
      <c r="J79" s="85">
        <f>'Table 1.3.1'!$L79/(1000*'Table 1.3.1'!J79)</f>
        <v>0.17884234100253693</v>
      </c>
      <c r="K79" s="85">
        <f>'Table 1.3.3'!D79/'Table 1.3.3'!$B79</f>
        <v>0.17017264911564819</v>
      </c>
      <c r="L79" s="85">
        <f>'Table 1.3.3'!C79/'Table 1.3.3'!$B79</f>
        <v>0.18439826084509423</v>
      </c>
    </row>
    <row r="80" spans="1:12" ht="12.75" customHeight="1">
      <c r="A80" s="58">
        <v>2002</v>
      </c>
      <c r="B80" s="85">
        <f>'Table 1.1'!B79/(1000*'Table 1.3.1'!B80)</f>
        <v>0.14917360339520228</v>
      </c>
      <c r="C80" s="85">
        <f>('Table 1.3.1'!$P80)/(1000*('Table 1.3.1'!N80))</f>
        <v>0.20969979739177586</v>
      </c>
      <c r="D80" s="85">
        <f>('Table 1.3.1'!$E80+'Table 1.3.1'!$L80)/(1000*('Table 1.3.1'!D80+'Table 1.3.1'!J80))</f>
        <v>0.24131452778142651</v>
      </c>
      <c r="E80" s="85">
        <f>'Table 1.3.1'!$E80/(1000*'Table 1.3.1'!C80)</f>
        <v>0.2385254083399635</v>
      </c>
      <c r="F80" s="85">
        <f>'Table 1.3.1'!$E80/(1000*'Table 1.3.1'!D80)</f>
        <v>0.26950306171011579</v>
      </c>
      <c r="G80" s="85">
        <f>'Table 1.3.1'!$L80/(1000*'Table 1.3.1'!F80)</f>
        <v>0.13608518249939569</v>
      </c>
      <c r="H80" s="85">
        <f>'Table 1.3.1'!$L80/(1000*'Table 1.3.1'!G80)</f>
        <v>0.16466346885054109</v>
      </c>
      <c r="I80" s="85">
        <f>'Table 1.3.1'!$L80/(1000*'Table 1.3.1'!H80)</f>
        <v>0.15624350239367238</v>
      </c>
      <c r="J80" s="85">
        <f>'Table 1.3.1'!$L80/(1000*'Table 1.3.1'!J80)</f>
        <v>0.1951249978338099</v>
      </c>
      <c r="K80" s="85">
        <f>'Table 1.3.3'!D80/'Table 1.3.3'!$B80</f>
        <v>0.17834075799222779</v>
      </c>
      <c r="L80" s="85">
        <f>'Table 1.3.3'!C80/'Table 1.3.3'!$B80</f>
        <v>0.19276129608817513</v>
      </c>
    </row>
    <row r="81" spans="1:12" ht="12.75" customHeight="1">
      <c r="A81" s="58">
        <v>2003</v>
      </c>
      <c r="B81" s="85">
        <f>'Table 1.1'!B80/(1000*'Table 1.3.1'!B81)</f>
        <v>0.15422239016000416</v>
      </c>
      <c r="C81" s="85">
        <f>('Table 1.3.1'!$P81)/(1000*('Table 1.3.1'!N81))</f>
        <v>0.21375</v>
      </c>
      <c r="D81" s="85">
        <f>('Table 1.3.1'!$E81+'Table 1.3.1'!$L81)/(1000*('Table 1.3.1'!D81+'Table 1.3.1'!J81))</f>
        <v>0.25467851642710471</v>
      </c>
      <c r="E81" s="85">
        <f>'Table 1.3.1'!$E81/(1000*'Table 1.3.1'!C81)</f>
        <v>0.24192653150207108</v>
      </c>
      <c r="F81" s="85">
        <f>'Table 1.3.1'!$E81/(1000*'Table 1.3.1'!D81)</f>
        <v>0.29021313876248755</v>
      </c>
      <c r="G81" s="85">
        <f>'Table 1.3.1'!$L81/(1000*'Table 1.3.1'!F81)</f>
        <v>0.13717045585026982</v>
      </c>
      <c r="H81" s="85">
        <f>'Table 1.3.1'!$L81/(1000*'Table 1.3.1'!G81)</f>
        <v>0.1682441377367791</v>
      </c>
      <c r="I81" s="85">
        <f>'Table 1.3.1'!$L81/(1000*'Table 1.3.1'!H81)</f>
        <v>0.15650694353465217</v>
      </c>
      <c r="J81" s="85">
        <f>'Table 1.3.1'!$L81/(1000*'Table 1.3.1'!J81)</f>
        <v>0.1982932193543033</v>
      </c>
      <c r="K81" s="85">
        <f>'Table 1.3.3'!D81/'Table 1.3.3'!$B81</f>
        <v>0.18176549379217968</v>
      </c>
      <c r="L81" s="85">
        <f>'Table 1.3.3'!C81/'Table 1.3.3'!$B81</f>
        <v>0.19679563134305292</v>
      </c>
    </row>
    <row r="82" spans="1:12" ht="12.75" customHeight="1">
      <c r="A82" s="58">
        <v>2004</v>
      </c>
      <c r="B82" s="85">
        <f>'Table 1.1'!B81/(1000*'Table 1.3.1'!B82)</f>
        <v>0.15489117862670032</v>
      </c>
      <c r="C82" s="85">
        <f>('Table 1.3.1'!$P82)/(1000*('Table 1.3.1'!N82))</f>
        <v>0.21838121701889004</v>
      </c>
      <c r="D82" s="85">
        <f>('Table 1.3.1'!$E82+'Table 1.3.1'!$L82)/(1000*('Table 1.3.1'!D82+'Table 1.3.1'!J82))</f>
        <v>0.25631908081745008</v>
      </c>
      <c r="E82" s="85">
        <f>'Table 1.3.1'!$E82/(1000*'Table 1.3.1'!C82)</f>
        <v>0.24877496118909992</v>
      </c>
      <c r="F82" s="85">
        <f>'Table 1.3.1'!$E82/(1000*'Table 1.3.1'!D82)</f>
        <v>0.29437803205002933</v>
      </c>
      <c r="G82" s="85">
        <f>'Table 1.3.1'!$L82/(1000*'Table 1.3.1'!F82)</f>
        <v>0.13863879316929456</v>
      </c>
      <c r="H82" s="85">
        <f>'Table 1.3.1'!$L82/(1000*'Table 1.3.1'!G82)</f>
        <v>0.16932834277337241</v>
      </c>
      <c r="I82" s="85">
        <f>'Table 1.3.1'!$L82/(1000*'Table 1.3.1'!H82)</f>
        <v>0.15613581812596006</v>
      </c>
      <c r="J82" s="85">
        <f>'Table 1.3.1'!$L82/(1000*'Table 1.3.1'!J82)</f>
        <v>0.19617929746004786</v>
      </c>
      <c r="K82" s="85">
        <f>'Table 1.3.3'!D82/'Table 1.3.3'!$B82</f>
        <v>0.1836082249509555</v>
      </c>
      <c r="L82" s="85">
        <f>'Table 1.3.3'!C82/'Table 1.3.3'!$B82</f>
        <v>0.19771609871878712</v>
      </c>
    </row>
    <row r="83" spans="1:12" ht="12.75" customHeight="1">
      <c r="A83" s="58">
        <v>2005</v>
      </c>
      <c r="B83" s="85">
        <f>'Table 1.1'!B82/(1000*'Table 1.3.1'!B83)</f>
        <v>0.15505421751149259</v>
      </c>
      <c r="C83" s="85">
        <f>('Table 1.3.1'!$P83)/(1000*('Table 1.3.1'!N83))</f>
        <v>0.21915802551727437</v>
      </c>
      <c r="D83" s="85">
        <f>('Table 1.3.1'!$E83+'Table 1.3.1'!$L83)/(1000*('Table 1.3.1'!D83+'Table 1.3.1'!J83))</f>
        <v>0.24491068806237154</v>
      </c>
      <c r="E83" s="85">
        <f>'Table 1.3.1'!$E83/(1000*'Table 1.3.1'!C83)</f>
        <v>0.24683310581908971</v>
      </c>
      <c r="F83" s="85">
        <f>'Table 1.3.1'!$E83/(1000*'Table 1.3.1'!D83)</f>
        <v>0.27662605613189273</v>
      </c>
      <c r="G83" s="85">
        <f>'Table 1.3.1'!$L83/(1000*'Table 1.3.1'!F83)</f>
        <v>0.14264478730587438</v>
      </c>
      <c r="H83" s="85">
        <f>'Table 1.3.1'!$L83/(1000*'Table 1.3.1'!G83)</f>
        <v>0.17361022125292366</v>
      </c>
      <c r="I83" s="85">
        <f>'Table 1.3.1'!$L83/(1000*'Table 1.3.1'!H83)</f>
        <v>0.15554712788853645</v>
      </c>
      <c r="J83" s="85">
        <f>'Table 1.3.1'!$L83/(1000*'Table 1.3.1'!J83)</f>
        <v>0.19310505484460694</v>
      </c>
      <c r="K83" s="85">
        <f>'Table 1.3.3'!D83/'Table 1.3.3'!$B83</f>
        <v>0.18361148083683151</v>
      </c>
      <c r="L83" s="85">
        <f>'Table 1.3.3'!C83/'Table 1.3.3'!$B83</f>
        <v>0.19833225259661219</v>
      </c>
    </row>
    <row r="84" spans="1:12" ht="12.75" customHeight="1">
      <c r="A84" s="58">
        <v>2006</v>
      </c>
      <c r="B84" s="85">
        <f>'Table 1.1'!B83/(1000*'Table 1.3.1'!B84)</f>
        <v>0.15610539836483162</v>
      </c>
      <c r="C84" s="85">
        <f>('Table 1.3.1'!$P84)/(1000*('Table 1.3.1'!N84))</f>
        <v>0.22435752548425739</v>
      </c>
      <c r="D84" s="85">
        <f>('Table 1.3.1'!$E84+'Table 1.3.1'!$L84)/(1000*('Table 1.3.1'!D84+'Table 1.3.1'!J84))</f>
        <v>0.24284403669724772</v>
      </c>
      <c r="E84" s="85">
        <f>'Table 1.3.1'!$E84/(1000*'Table 1.3.1'!C84)</f>
        <v>0.256980513080658</v>
      </c>
      <c r="F84" s="85">
        <f>'Table 1.3.1'!$E84/(1000*'Table 1.3.1'!D84)</f>
        <v>0.27708033286451006</v>
      </c>
      <c r="G84" s="85">
        <f>'Table 1.3.1'!$L84/(1000*'Table 1.3.1'!F84)</f>
        <v>0.14133056400538571</v>
      </c>
      <c r="H84" s="85">
        <f>'Table 1.3.1'!$L84/(1000*'Table 1.3.1'!G84)</f>
        <v>0.17026745569240012</v>
      </c>
      <c r="I84" s="85">
        <f>'Table 1.3.1'!$L84/(1000*'Table 1.3.1'!H84)</f>
        <v>0.15166167924225396</v>
      </c>
      <c r="J84" s="85">
        <f>'Table 1.3.1'!$L84/(1000*'Table 1.3.1'!J84)</f>
        <v>0.18549000589043785</v>
      </c>
      <c r="K84" s="85">
        <f>'Table 1.3.3'!D84/'Table 1.3.3'!$B84</f>
        <v>0.1847055660123689</v>
      </c>
      <c r="L84" s="85">
        <f>'Table 1.3.3'!C84/'Table 1.3.3'!$B84</f>
        <v>0.19875235278300618</v>
      </c>
    </row>
    <row r="85" spans="1:12" ht="12.75" customHeight="1">
      <c r="A85" s="58">
        <v>2007</v>
      </c>
      <c r="B85" s="85">
        <f>'Table 1.1'!B84/(1000*'Table 1.3.1'!B85)</f>
        <v>0.15871694647210347</v>
      </c>
      <c r="C85" s="85">
        <f>('Table 1.3.1'!$P85)/(1000*('Table 1.3.1'!N85))</f>
        <v>0.22445102660466695</v>
      </c>
      <c r="D85" s="85">
        <f>('Table 1.3.1'!$E85+'Table 1.3.1'!$L85)/(1000*('Table 1.3.1'!D85+'Table 1.3.1'!J85))</f>
        <v>0.24651298913296948</v>
      </c>
      <c r="E85" s="85">
        <f>'Table 1.3.1'!$E85/(1000*'Table 1.3.1'!C85)</f>
        <v>0.25854456703672074</v>
      </c>
      <c r="F85" s="85">
        <f>'Table 1.3.1'!$E85/(1000*'Table 1.3.1'!D85)</f>
        <v>0.28165415844900082</v>
      </c>
      <c r="G85" s="85">
        <f>'Table 1.3.1'!$L85/(1000*'Table 1.3.1'!F85)</f>
        <v>0.14020538950121428</v>
      </c>
      <c r="H85" s="85">
        <f>'Table 1.3.1'!$L85/(1000*'Table 1.3.1'!G85)</f>
        <v>0.16844786219279545</v>
      </c>
      <c r="I85" s="85">
        <f>'Table 1.3.1'!$L85/(1000*'Table 1.3.1'!H85)</f>
        <v>0.15317504974743612</v>
      </c>
      <c r="J85" s="85">
        <f>'Table 1.3.1'!$L85/(1000*'Table 1.3.1'!J85)</f>
        <v>0.18752438003622965</v>
      </c>
      <c r="K85" s="85">
        <f>'Table 1.3.3'!D85/'Table 1.3.3'!$B85</f>
        <v>0.18747177866261647</v>
      </c>
      <c r="L85" s="85">
        <f>'Table 1.3.3'!C85/'Table 1.3.3'!$B85</f>
        <v>0.20094618447518575</v>
      </c>
    </row>
    <row r="86" spans="1:12" ht="12.75" customHeight="1">
      <c r="A86" s="58">
        <v>2008</v>
      </c>
      <c r="B86" s="85">
        <f>'Table 1.1'!B85/(1000*'Table 1.3.1'!B86)</f>
        <v>0.16349150492856804</v>
      </c>
      <c r="C86" s="85">
        <f>('Table 1.3.1'!$P86)/(1000*('Table 1.3.1'!N86))</f>
        <v>0.2245712064428674</v>
      </c>
      <c r="D86" s="85">
        <f>('Table 1.3.1'!$E86+'Table 1.3.1'!$L86)/(1000*('Table 1.3.1'!D86+'Table 1.3.1'!J86))</f>
        <v>0.27242013880492344</v>
      </c>
      <c r="E86" s="85">
        <f>'Table 1.3.1'!$E86/(1000*'Table 1.3.1'!C86)</f>
        <v>0.26071970899133978</v>
      </c>
      <c r="F86" s="85">
        <f>'Table 1.3.1'!$E86/(1000*'Table 1.3.1'!D86)</f>
        <v>0.32315251065509076</v>
      </c>
      <c r="G86" s="85">
        <f>'Table 1.3.1'!$L86/(1000*'Table 1.3.1'!F86)</f>
        <v>0.13694940710406836</v>
      </c>
      <c r="H86" s="85">
        <f>'Table 1.3.1'!$L86/(1000*'Table 1.3.1'!G86)</f>
        <v>0.16403846129238644</v>
      </c>
      <c r="I86" s="85">
        <f>'Table 1.3.1'!$L86/(1000*'Table 1.3.1'!H86)</f>
        <v>0.15599581098210211</v>
      </c>
      <c r="J86" s="85">
        <f>'Table 1.3.1'!$L86/(1000*'Table 1.3.1'!J86)</f>
        <v>0.19213797414600636</v>
      </c>
      <c r="K86" s="85">
        <f>'Table 1.3.3'!D86/'Table 1.3.3'!$B86</f>
        <v>0.19131477687272</v>
      </c>
      <c r="L86" s="85">
        <f>'Table 1.3.3'!C86/'Table 1.3.3'!$B86</f>
        <v>0.20404777372445157</v>
      </c>
    </row>
    <row r="87" spans="1:12" ht="12.75" customHeight="1">
      <c r="A87" s="58">
        <v>2009</v>
      </c>
      <c r="B87" s="85">
        <f>'Table 1.1'!B86/(1000*'Table 1.3.1'!B87)</f>
        <v>0.17347678926889493</v>
      </c>
      <c r="C87" s="85">
        <f>('Table 1.3.1'!$P87)/(1000*('Table 1.3.1'!N87))</f>
        <v>0.22316704150480474</v>
      </c>
      <c r="D87" s="85">
        <f>('Table 1.3.1'!$E87+'Table 1.3.1'!$L87)/(1000*('Table 1.3.1'!D87+'Table 1.3.1'!J87))</f>
        <v>0.3176688009313155</v>
      </c>
      <c r="E87" s="85">
        <f>'Table 1.3.1'!$E87/(1000*'Table 1.3.1'!C87)</f>
        <v>0.26110247622058103</v>
      </c>
      <c r="F87" s="85">
        <f>'Table 1.3.1'!$E87/(1000*'Table 1.3.1'!D87)</f>
        <v>0.40370129604123162</v>
      </c>
      <c r="G87" s="85">
        <f>'Table 1.3.1'!$L87/(1000*'Table 1.3.1'!F87)</f>
        <v>0.12383941525675275</v>
      </c>
      <c r="H87" s="85">
        <f>'Table 1.3.1'!$L87/(1000*'Table 1.3.1'!G87)</f>
        <v>0.15369460740974633</v>
      </c>
      <c r="I87" s="85">
        <f>'Table 1.3.1'!$L87/(1000*'Table 1.3.1'!H87)</f>
        <v>0.14698062053346755</v>
      </c>
      <c r="J87" s="85">
        <f>'Table 1.3.1'!$L87/(1000*'Table 1.3.1'!J87)</f>
        <v>0.19102000981097522</v>
      </c>
      <c r="K87" s="85">
        <f>'Table 1.3.3'!D87/'Table 1.3.3'!$B87</f>
        <v>0.2032835851222709</v>
      </c>
      <c r="L87" s="85">
        <f>'Table 1.3.3'!C87/'Table 1.3.3'!$B87</f>
        <v>0.21541415639699685</v>
      </c>
    </row>
    <row r="88" spans="1:12" ht="18" customHeight="1">
      <c r="A88" s="58">
        <v>2010</v>
      </c>
      <c r="B88" s="85">
        <f>'Table 1.1'!B87/(1000*'Table 1.3.1'!B88)</f>
        <v>0.17381326755045692</v>
      </c>
      <c r="C88" s="85">
        <f>('Table 1.3.1'!$P88)/(1000*('Table 1.3.1'!N88))</f>
        <v>0.22464304204231009</v>
      </c>
      <c r="D88" s="85">
        <f>('Table 1.3.1'!$E88+'Table 1.3.1'!$L88)/(1000*('Table 1.3.1'!D88+'Table 1.3.1'!J88))</f>
        <v>0.31642769130183318</v>
      </c>
      <c r="E88" s="85">
        <f>'Table 1.3.1'!$E88/(1000*'Table 1.3.1'!C88)</f>
        <v>0.25842642517399833</v>
      </c>
      <c r="F88" s="85">
        <f>'Table 1.3.1'!$E88/(1000*'Table 1.3.1'!D88)</f>
        <v>0.3995688283197607</v>
      </c>
      <c r="G88" s="85">
        <f>'Table 1.3.1'!$L88/(1000*'Table 1.3.1'!F88)</f>
        <v>0.12435788891217775</v>
      </c>
      <c r="H88" s="85">
        <f>'Table 1.3.1'!$L88/(1000*'Table 1.3.1'!G88)</f>
        <v>0.15777882352941178</v>
      </c>
      <c r="I88" s="85">
        <f>'Table 1.3.1'!$L88/(1000*'Table 1.3.1'!H88)</f>
        <v>0.14295284502698538</v>
      </c>
      <c r="J88" s="85">
        <f>'Table 1.3.1'!$L88/(1000*'Table 1.3.1'!J88)</f>
        <v>0.18896473915536025</v>
      </c>
      <c r="K88" s="85">
        <f>'Table 1.3.3'!D88/'Table 1.3.3'!$B88</f>
        <v>0.20392279869436086</v>
      </c>
      <c r="L88" s="85">
        <f>'Table 1.3.3'!C88/'Table 1.3.3'!$B88</f>
        <v>0.2172340446387438</v>
      </c>
    </row>
    <row r="89" spans="1:12" ht="12.75" customHeight="1">
      <c r="A89" s="58">
        <v>2011</v>
      </c>
      <c r="B89" s="85">
        <f>'Table 1.1'!B88/(1000*'Table 1.3.1'!B89)</f>
        <v>0.1738620942718459</v>
      </c>
      <c r="C89" s="85">
        <f>('Table 1.3.1'!$P89)/(1000*('Table 1.3.1'!N89))</f>
        <v>0.23184437378555026</v>
      </c>
      <c r="D89" s="85">
        <f>('Table 1.3.1'!$E89+'Table 1.3.1'!$L89)/(1000*('Table 1.3.1'!D89+'Table 1.3.1'!J89))</f>
        <v>0.31567995959207229</v>
      </c>
      <c r="E89" s="85">
        <f>'Table 1.3.1'!$E89/(1000*'Table 1.3.1'!C89)</f>
        <v>0.26066217068182418</v>
      </c>
      <c r="F89" s="85">
        <f>'Table 1.3.1'!$E89/(1000*'Table 1.3.1'!D89)</f>
        <v>0.38846020124292441</v>
      </c>
      <c r="G89" s="85">
        <f>'Table 1.3.1'!$L89/(1000*'Table 1.3.1'!F89)</f>
        <v>0.13978890213628303</v>
      </c>
      <c r="H89" s="85">
        <f>'Table 1.3.1'!$L89/(1000*'Table 1.3.1'!G89)</f>
        <v>0.17462369790622856</v>
      </c>
      <c r="I89" s="85">
        <f>'Table 1.3.1'!$L89/(1000*'Table 1.3.1'!H89)</f>
        <v>0.15738377868618689</v>
      </c>
      <c r="J89" s="85">
        <f>'Table 1.3.1'!$L89/(1000*'Table 1.3.1'!J89)</f>
        <v>0.20296940697603136</v>
      </c>
      <c r="K89" s="85">
        <f>'Table 1.3.3'!D89/'Table 1.3.3'!$B89</f>
        <v>0.20349521088892625</v>
      </c>
      <c r="L89" s="85">
        <f>'Table 1.3.3'!C89/'Table 1.3.3'!$B89</f>
        <v>0.21687298119830473</v>
      </c>
    </row>
    <row r="90" spans="1:12" ht="12.75" customHeight="1">
      <c r="A90" s="58">
        <v>2012</v>
      </c>
      <c r="B90" s="85">
        <f>'Table 1.1'!B89/(1000*'Table 1.3.1'!B90)</f>
        <v>0.17330514185312984</v>
      </c>
      <c r="C90" s="85">
        <f>('Table 1.3.1'!$P90)/(1000*('Table 1.3.1'!N90))</f>
        <v>0.24149168521227446</v>
      </c>
      <c r="D90" s="85">
        <f>('Table 1.3.1'!$E90+'Table 1.3.1'!$L90)/(1000*('Table 1.3.1'!D90+'Table 1.3.1'!J90))</f>
        <v>0.31859304673286998</v>
      </c>
      <c r="E90" s="85">
        <f>'Table 1.3.1'!$E90/(1000*'Table 1.3.1'!C90)</f>
        <v>0.27201806587834587</v>
      </c>
      <c r="F90" s="85">
        <f>'Table 1.3.1'!$E90/(1000*'Table 1.3.1'!D90)</f>
        <v>0.38334113672975817</v>
      </c>
      <c r="G90" s="85">
        <f>'Table 1.3.1'!$L90/(1000*'Table 1.3.1'!F90)</f>
        <v>0.14913706065391058</v>
      </c>
      <c r="H90" s="85">
        <f>'Table 1.3.1'!$L90/(1000*'Table 1.3.1'!G90)</f>
        <v>0.18281390646927367</v>
      </c>
      <c r="I90" s="85">
        <f>'Table 1.3.1'!$L90/(1000*'Table 1.3.1'!H90)</f>
        <v>0.16976998070841895</v>
      </c>
      <c r="J90" s="85">
        <f>'Table 1.3.1'!$L90/(1000*'Table 1.3.1'!J90)</f>
        <v>0.21481701145138207</v>
      </c>
      <c r="K90" s="85">
        <f>'Table 1.3.3'!D90/'Table 1.3.3'!$B90</f>
        <v>0.20446473416086675</v>
      </c>
      <c r="L90" s="85">
        <f>'Table 1.3.3'!C90/'Table 1.3.3'!$B90</f>
        <v>0.21832173351510364</v>
      </c>
    </row>
    <row r="91" spans="1:12" ht="12.75" customHeight="1">
      <c r="A91" s="58">
        <v>2013</v>
      </c>
      <c r="B91" s="85">
        <f>'Table 1.1'!B90/(1000*'Table 1.3.1'!B91)</f>
        <v>0.17478312616454342</v>
      </c>
      <c r="C91" s="85">
        <f>('Table 1.3.1'!$P91)/(1000*('Table 1.3.1'!N91))</f>
        <v>0.25080921984889887</v>
      </c>
      <c r="D91" s="85">
        <f>('Table 1.3.1'!$E91+'Table 1.3.1'!$L91)/(1000*('Table 1.3.1'!D91+'Table 1.3.1'!J91))</f>
        <v>0.29722916839552843</v>
      </c>
      <c r="E91" s="85">
        <f>'Table 1.3.1'!$E91/(1000*'Table 1.3.1'!C91)</f>
        <v>0.28760467918420624</v>
      </c>
      <c r="F91" s="85">
        <f>'Table 1.3.1'!$E91/(1000*'Table 1.3.1'!D91)</f>
        <v>0.3448058417373816</v>
      </c>
      <c r="G91" s="85">
        <f>'Table 1.3.1'!$L91/(1000*'Table 1.3.1'!F91)</f>
        <v>0.14774772423876359</v>
      </c>
      <c r="H91" s="85">
        <f>'Table 1.3.1'!$L91/(1000*'Table 1.3.1'!G91)</f>
        <v>0.18425168422336652</v>
      </c>
      <c r="I91" s="85">
        <f>'Table 1.3.1'!$L91/(1000*'Table 1.3.1'!H91)</f>
        <v>0.166221216429532</v>
      </c>
      <c r="J91" s="85">
        <f>'Table 1.3.1'!$L91/(1000*'Table 1.3.1'!J91)</f>
        <v>0.21389714454539874</v>
      </c>
      <c r="K91" s="85">
        <f>'Table 1.3.3'!D91/'Table 1.3.3'!$B91</f>
        <v>0.20656161024547556</v>
      </c>
      <c r="L91" s="85">
        <f>'Table 1.3.3'!C91/'Table 1.3.3'!$B91</f>
        <v>0.22059444500215569</v>
      </c>
    </row>
    <row r="92" spans="1:12" ht="12.75" customHeight="1">
      <c r="A92" s="58">
        <v>2014</v>
      </c>
      <c r="B92" s="85">
        <f>'Table 1.1'!B91/(1000*'Table 1.3.1'!B92)</f>
        <v>0.17970721735013548</v>
      </c>
      <c r="C92" s="85">
        <f>('Table 1.3.1'!$P92)/(1000*('Table 1.3.1'!N92))</f>
        <v>0.26329760412914266</v>
      </c>
      <c r="D92" s="85">
        <f>('Table 1.3.1'!$E92+'Table 1.3.1'!$L92)/(1000*('Table 1.3.1'!D92+'Table 1.3.1'!J92))</f>
        <v>0.30481905067304416</v>
      </c>
      <c r="E92" s="85">
        <f>'Table 1.3.1'!$E92/(1000*'Table 1.3.1'!C92)</f>
        <v>0.3032752965532719</v>
      </c>
      <c r="F92" s="85">
        <f>'Table 1.3.1'!$E92/(1000*'Table 1.3.1'!D92)</f>
        <v>0.35056621437309082</v>
      </c>
      <c r="G92" s="85">
        <f>'Table 1.3.1'!$L92/(1000*'Table 1.3.1'!F92)</f>
        <v>0.1532439592859795</v>
      </c>
      <c r="H92" s="85">
        <f>'Table 1.3.1'!$L92/(1000*'Table 1.3.1'!G92)</f>
        <v>0.19110587145064661</v>
      </c>
      <c r="I92" s="85">
        <f>'Table 1.3.1'!$L92/(1000*'Table 1.3.1'!H92)</f>
        <v>0.17240466785010669</v>
      </c>
      <c r="J92" s="85">
        <f>'Table 1.3.1'!$L92/(1000*'Table 1.3.1'!J92)</f>
        <v>0.22185414685055768</v>
      </c>
      <c r="K92" s="85">
        <f>'Table 1.3.3'!D92/'Table 1.3.3'!$B92</f>
        <v>0.20834989369594978</v>
      </c>
      <c r="L92" s="85">
        <f>'Table 1.3.3'!C92/'Table 1.3.3'!$B92</f>
        <v>0.22285126373654995</v>
      </c>
    </row>
    <row r="93" spans="1:12" ht="12.75" customHeight="1">
      <c r="A93" s="58">
        <v>2015</v>
      </c>
      <c r="B93" s="85">
        <f>'Table 1.1'!B92/(1000*'Table 1.3.1'!B93)</f>
        <v>0.17876407804524008</v>
      </c>
      <c r="C93" s="85">
        <f>('Table 1.3.1'!$P93)/(1000*('Table 1.3.1'!N93))</f>
        <v>0.26412838619085727</v>
      </c>
      <c r="D93" s="85">
        <f>('Table 1.3.1'!$E93+'Table 1.3.1'!$L93)/(1000*('Table 1.3.1'!D93+'Table 1.3.1'!J93))</f>
        <v>0.29343641908515483</v>
      </c>
      <c r="E93" s="85">
        <f>'Table 1.3.1'!$E93/(1000*'Table 1.3.1'!C93)</f>
        <v>0.30702296331859269</v>
      </c>
      <c r="F93" s="85">
        <f>'Table 1.3.1'!$E93/(1000*'Table 1.3.1'!D93)</f>
        <v>0.33305313527665859</v>
      </c>
      <c r="G93" s="85">
        <f>'Table 1.3.1'!$L93/(1000*'Table 1.3.1'!F93)</f>
        <v>0.15049114515191767</v>
      </c>
      <c r="H93" s="85">
        <f>'Table 1.3.1'!$L93/(1000*'Table 1.3.1'!G93)</f>
        <v>0.18767292083724071</v>
      </c>
      <c r="I93" s="85">
        <f>'Table 1.3.1'!$L93/(1000*'Table 1.3.1'!H93)</f>
        <v>0.16930765829327105</v>
      </c>
      <c r="J93" s="85">
        <f>'Table 1.3.1'!$L93/(1000*'Table 1.3.1'!J93)</f>
        <v>0.21786884632715672</v>
      </c>
      <c r="K93" s="85">
        <f>'Table 1.3.3'!D93/'Table 1.3.3'!$B93</f>
        <v>0.20721504634223403</v>
      </c>
      <c r="L93" s="85">
        <f>'Table 1.3.3'!C93/'Table 1.3.3'!$B93</f>
        <v>0.22173470589491079</v>
      </c>
    </row>
    <row r="94" spans="1:12" ht="12.75" customHeight="1">
      <c r="A94" s="58">
        <v>2016</v>
      </c>
      <c r="B94" s="85">
        <f>'Table 1.1'!B93/(1000*'Table 1.3.1'!B94)</f>
        <v>0.17825969531581462</v>
      </c>
      <c r="C94" s="85">
        <f>('Table 1.3.1'!$P94)/(1000*('Table 1.3.1'!N94))</f>
        <v>0.26387321430008731</v>
      </c>
      <c r="D94" s="85">
        <f>('Table 1.3.1'!$E94+'Table 1.3.1'!$L94)/(1000*('Table 1.3.1'!D94+'Table 1.3.1'!J94))</f>
        <v>0.29460148443763623</v>
      </c>
      <c r="E94" s="85">
        <f>'Table 1.3.1'!$E94/(1000*'Table 1.3.1'!C94)</f>
        <v>0.30674700762602242</v>
      </c>
      <c r="F94" s="85">
        <f>'Table 1.3.1'!$E94/(1000*'Table 1.3.1'!D94)</f>
        <v>0.33529062850097946</v>
      </c>
      <c r="G94" s="85">
        <f>'Table 1.3.1'!$L94/(1000*'Table 1.3.1'!F94)</f>
        <v>0.15010597908683998</v>
      </c>
      <c r="H94" s="85">
        <f>'Table 1.3.1'!$L94/(1000*'Table 1.3.1'!G94)</f>
        <v>0.18719259197558216</v>
      </c>
      <c r="I94" s="85">
        <f>'Table 1.3.1'!$L94/(1000*'Table 1.3.1'!H94)</f>
        <v>0.16887433336597049</v>
      </c>
      <c r="J94" s="85">
        <f>'Table 1.3.1'!$L94/(1000*'Table 1.3.1'!J94)</f>
        <v>0.21731123420879506</v>
      </c>
      <c r="K94" s="85">
        <f>'Table 1.3.3'!D94/'Table 1.3.3'!$B94</f>
        <v>0.20580692071539944</v>
      </c>
      <c r="L94" s="85">
        <f>'Table 1.3.3'!C94/'Table 1.3.3'!$B94</f>
        <v>0.22033515366689854</v>
      </c>
    </row>
    <row r="95" spans="1:12" ht="12.75" customHeight="1">
      <c r="A95" s="58">
        <v>2017</v>
      </c>
      <c r="B95" s="85">
        <f>'Table 1.1'!B94/(1000*'Table 1.3.1'!B95)</f>
        <v>0.17823563110333943</v>
      </c>
      <c r="C95" s="85">
        <f>('Table 1.3.1'!$P95)/(1000*('Table 1.3.1'!N95))</f>
        <v>0.26576984609619148</v>
      </c>
      <c r="D95" s="85">
        <f>('Table 1.3.1'!$E95+'Table 1.3.1'!$L95)/(1000*('Table 1.3.1'!D95+'Table 1.3.1'!J95))</f>
        <v>0.29809886571578365</v>
      </c>
      <c r="E95" s="85">
        <f>'Table 1.3.1'!$E95/(1000*'Table 1.3.1'!C95)</f>
        <v>0.30848770117215923</v>
      </c>
      <c r="F95" s="85">
        <f>'Table 1.3.1'!$E95/(1000*'Table 1.3.1'!D95)</f>
        <v>0.33956690534772427</v>
      </c>
      <c r="G95" s="85">
        <f>'Table 1.3.1'!$L95/(1000*'Table 1.3.1'!F95)</f>
        <v>0.1521013288406779</v>
      </c>
      <c r="H95" s="85">
        <f>'Table 1.3.1'!$L95/(1000*'Table 1.3.1'!G95)</f>
        <v>0.18968093184446022</v>
      </c>
      <c r="I95" s="85">
        <f>'Table 1.3.1'!$L95/(1000*'Table 1.3.1'!H95)</f>
        <v>0.17111916972466334</v>
      </c>
      <c r="J95" s="85">
        <f>'Table 1.3.1'!$L95/(1000*'Table 1.3.1'!J95)</f>
        <v>0.22019993937778684</v>
      </c>
      <c r="K95" s="85">
        <f>'Table 1.3.3'!D95/'Table 1.3.3'!$B95</f>
        <v>0.2047221718477816</v>
      </c>
      <c r="L95" s="85">
        <f>'Table 1.3.3'!C95/'Table 1.3.3'!$B95</f>
        <v>0.21915593474239314</v>
      </c>
    </row>
    <row r="96" spans="1:12" ht="12.75" customHeight="1">
      <c r="A96" s="58">
        <v>2018</v>
      </c>
      <c r="B96" s="85">
        <f>'Table 1.1'!B95/(1000*'Table 1.3.1'!B96)</f>
        <v>0.18067517784039447</v>
      </c>
      <c r="C96" s="85">
        <f>('Table 1.3.1'!$P96)/(1000*('Table 1.3.1'!N96))</f>
        <v>0.2705382625943783</v>
      </c>
      <c r="D96" s="85">
        <f>('Table 1.3.1'!$E96+'Table 1.3.1'!$L96)/(1000*('Table 1.3.1'!D96+'Table 1.3.1'!J96))</f>
        <v>0.30513414990923265</v>
      </c>
      <c r="E96" s="85">
        <f>'Table 1.3.1'!$E96/(1000*'Table 1.3.1'!C96)</f>
        <v>0.31278688858435333</v>
      </c>
      <c r="F96" s="85">
        <f>'Table 1.3.1'!$E96/(1000*'Table 1.3.1'!D96)</f>
        <v>0.34726875067292495</v>
      </c>
      <c r="G96" s="85">
        <f>'Table 1.3.1'!$L96/(1000*'Table 1.3.1'!F96)</f>
        <v>0.15628324779114511</v>
      </c>
      <c r="H96" s="85">
        <f>'Table 1.3.1'!$L96/(1000*'Table 1.3.1'!G96)</f>
        <v>0.1948960755218275</v>
      </c>
      <c r="I96" s="85">
        <f>'Table 1.3.1'!$L96/(1000*'Table 1.3.1'!H96)</f>
        <v>0.17582397082084156</v>
      </c>
      <c r="J96" s="85">
        <f>'Table 1.3.1'!$L96/(1000*'Table 1.3.1'!J96)</f>
        <v>0.22625418168056297</v>
      </c>
      <c r="K96" s="85">
        <f>'Table 1.3.3'!D96/'Table 1.3.3'!$B96</f>
        <v>0.20583174099388304</v>
      </c>
      <c r="L96" s="85">
        <f>'Table 1.3.3'!C96/'Table 1.3.3'!$B96</f>
        <v>0.22030592310415925</v>
      </c>
    </row>
    <row r="97" spans="1:18" ht="12.75" customHeight="1">
      <c r="A97" s="58">
        <v>2019</v>
      </c>
      <c r="B97" s="85">
        <f>'Table 1.1'!B96/(1000*'Table 1.3.1'!B97)</f>
        <v>0.18406608233700478</v>
      </c>
      <c r="C97" s="85">
        <f>('Table 1.3.1'!$P97)/(1000*('Table 1.3.1'!N97))</f>
        <v>0.27497581864222947</v>
      </c>
      <c r="D97" s="85">
        <f>('Table 1.3.1'!$E97+'Table 1.3.1'!$L97)/(1000*('Table 1.3.1'!D97+'Table 1.3.1'!J97))</f>
        <v>0.3137722663611881</v>
      </c>
      <c r="E97" s="85">
        <f>'Table 1.3.1'!$E97/(1000*'Table 1.3.1'!C97)</f>
        <v>0.31565065482115101</v>
      </c>
      <c r="F97" s="85">
        <f>'Table 1.3.1'!$E97/(1000*'Table 1.3.1'!D97)</f>
        <v>0.35683223066113479</v>
      </c>
      <c r="G97" s="85">
        <f>'Table 1.3.1'!$L97/(1000*'Table 1.3.1'!F97)</f>
        <v>0.16128943348477812</v>
      </c>
      <c r="H97" s="85">
        <f>'Table 1.3.1'!$L97/(1000*'Table 1.3.1'!G97)</f>
        <v>0.20113913713471696</v>
      </c>
      <c r="I97" s="85">
        <f>'Table 1.3.1'!$L97/(1000*'Table 1.3.1'!H97)</f>
        <v>0.18145610004621662</v>
      </c>
      <c r="J97" s="85">
        <f>'Table 1.3.1'!$L97/(1000*'Table 1.3.1'!J97)</f>
        <v>0.23350173036836319</v>
      </c>
      <c r="K97" s="85">
        <f>'Table 1.3.3'!D97/'Table 1.3.3'!$B97</f>
        <v>0.20827098296672342</v>
      </c>
      <c r="L97" s="85">
        <f>'Table 1.3.3'!C97/'Table 1.3.3'!$B97</f>
        <v>0.22293889280501294</v>
      </c>
    </row>
    <row r="98" spans="1:18" ht="12.75" customHeight="1">
      <c r="A98" s="58">
        <v>2020</v>
      </c>
      <c r="B98" s="85">
        <f>'Table 1.1'!B97/(1000*'Table 1.3.1'!B98)</f>
        <v>0.18807009269931405</v>
      </c>
      <c r="C98" s="85">
        <f>('Table 1.3.1'!$P98)/(1000*('Table 1.3.1'!N98))</f>
        <v>0.28058918915314668</v>
      </c>
      <c r="D98" s="85">
        <f>('Table 1.3.1'!$E98+'Table 1.3.1'!$L98)/(1000*('Table 1.3.1'!D98+'Table 1.3.1'!J98))</f>
        <v>0.32394048225166677</v>
      </c>
      <c r="E98" s="85">
        <f>'Table 1.3.1'!$E98/(1000*'Table 1.3.1'!C98)</f>
        <v>0.31898951036808187</v>
      </c>
      <c r="F98" s="85">
        <f>'Table 1.3.1'!$E98/(1000*'Table 1.3.1'!D98)</f>
        <v>0.36717575608386349</v>
      </c>
      <c r="G98" s="85">
        <f>'Table 1.3.1'!$L98/(1000*'Table 1.3.1'!F98)</f>
        <v>0.16826647126998043</v>
      </c>
      <c r="H98" s="85">
        <f>'Table 1.3.1'!$L98/(1000*'Table 1.3.1'!G98)</f>
        <v>0.209839988328446</v>
      </c>
      <c r="I98" s="85">
        <f>'Table 1.3.1'!$L98/(1000*'Table 1.3.1'!H98)</f>
        <v>0.18930550492677498</v>
      </c>
      <c r="J98" s="85">
        <f>'Table 1.3.1'!$L98/(1000*'Table 1.3.1'!J98)</f>
        <v>0.2436025185011701</v>
      </c>
      <c r="K98" s="85">
        <f>'Table 1.3.3'!D98/'Table 1.3.3'!$B98</f>
        <v>0.21095539705373417</v>
      </c>
      <c r="L98" s="85">
        <f>'Table 1.3.3'!C98/'Table 1.3.3'!$B98</f>
        <v>0.22583488156784912</v>
      </c>
    </row>
    <row r="99" spans="1:18" ht="12.75" customHeight="1">
      <c r="A99" s="58">
        <v>2021</v>
      </c>
      <c r="B99" s="85">
        <f>'Table 1.1'!B98/(1000*'Table 1.3.1'!B99)</f>
        <v>0.19211468902454149</v>
      </c>
      <c r="C99" s="85">
        <f>('Table 1.3.1'!$P99)/(1000*('Table 1.3.1'!N99))</f>
        <v>0.28658341824356975</v>
      </c>
      <c r="D99" s="85">
        <f>('Table 1.3.1'!$E99+'Table 1.3.1'!$L99)/(1000*('Table 1.3.1'!D99+'Table 1.3.1'!J99))</f>
        <v>0.33476578550825142</v>
      </c>
      <c r="E99" s="85">
        <f>'Table 1.3.1'!$E99/(1000*'Table 1.3.1'!C99)</f>
        <v>0.32277860323271529</v>
      </c>
      <c r="F99" s="85">
        <f>'Table 1.3.1'!$E99/(1000*'Table 1.3.1'!D99)</f>
        <v>0.37830540771431997</v>
      </c>
      <c r="G99" s="85">
        <f>'Table 1.3.1'!$L99/(1000*'Table 1.3.1'!F99)</f>
        <v>0.17549035547485714</v>
      </c>
      <c r="H99" s="85">
        <f>'Table 1.3.1'!$L99/(1000*'Table 1.3.1'!G99)</f>
        <v>0.21884867416940126</v>
      </c>
      <c r="I99" s="85">
        <f>'Table 1.3.1'!$L99/(1000*'Table 1.3.1'!H99)</f>
        <v>0.19743262042765558</v>
      </c>
      <c r="J99" s="85">
        <f>'Table 1.3.1'!$L99/(1000*'Table 1.3.1'!J99)</f>
        <v>0.25406067081391037</v>
      </c>
      <c r="K99" s="85">
        <f>'Table 1.3.3'!D99/'Table 1.3.3'!$B99</f>
        <v>0.21383864957902476</v>
      </c>
      <c r="L99" s="85">
        <f>'Table 1.3.3'!C99/'Table 1.3.3'!$B99</f>
        <v>0.22894436254249872</v>
      </c>
    </row>
    <row r="100" spans="1:18">
      <c r="A100" s="123" t="s">
        <v>23</v>
      </c>
      <c r="B100" s="27" t="s">
        <v>24</v>
      </c>
      <c r="C100" s="27" t="s">
        <v>25</v>
      </c>
      <c r="D100" s="27" t="s">
        <v>26</v>
      </c>
      <c r="E100" s="28" t="s">
        <v>27</v>
      </c>
      <c r="F100" s="30"/>
      <c r="G100" s="30"/>
      <c r="H100" s="30"/>
      <c r="I100" s="30"/>
      <c r="J100" s="29"/>
      <c r="K100" s="28" t="s">
        <v>28</v>
      </c>
      <c r="L100" s="30"/>
    </row>
    <row r="101" spans="1:18" s="93" customFormat="1" ht="15.75" customHeight="1">
      <c r="A101" s="31" t="s">
        <v>36</v>
      </c>
      <c r="B101" s="32">
        <v>41514</v>
      </c>
      <c r="C101" s="32"/>
      <c r="D101" s="32"/>
      <c r="E101" s="32"/>
      <c r="F101" s="32"/>
      <c r="G101" s="31"/>
      <c r="H101" s="31"/>
      <c r="I101" s="31"/>
      <c r="J101" s="31"/>
      <c r="K101" s="31"/>
      <c r="L101" s="31"/>
    </row>
    <row r="102" spans="1:18" s="38" customFormat="1" ht="18" customHeight="1">
      <c r="A102" s="35" t="s">
        <v>39</v>
      </c>
      <c r="B102" s="36"/>
      <c r="C102" s="36"/>
      <c r="D102" s="36"/>
      <c r="E102" s="36"/>
      <c r="F102" s="36"/>
      <c r="G102" s="36"/>
      <c r="H102" s="36"/>
      <c r="I102" s="36"/>
      <c r="J102" s="36"/>
      <c r="K102" s="37"/>
      <c r="L102" s="37"/>
    </row>
    <row r="103" spans="1:18" s="41" customFormat="1" ht="18" customHeight="1">
      <c r="A103" s="39" t="str">
        <f>B$100</f>
        <v>[A]</v>
      </c>
      <c r="B103" s="40" t="s">
        <v>443</v>
      </c>
      <c r="C103" s="40"/>
      <c r="D103" s="40"/>
      <c r="E103" s="40"/>
      <c r="F103" s="40"/>
      <c r="G103" s="40"/>
      <c r="H103" s="40"/>
      <c r="I103" s="40"/>
      <c r="J103" s="40"/>
      <c r="K103" s="40"/>
      <c r="L103" s="40"/>
    </row>
    <row r="104" spans="1:18" s="38" customFormat="1" ht="24.75" customHeight="1">
      <c r="A104" s="39" t="str">
        <f>C$100</f>
        <v>[B]</v>
      </c>
      <c r="B104" s="40" t="s">
        <v>444</v>
      </c>
      <c r="C104" s="40"/>
      <c r="D104" s="40"/>
      <c r="E104" s="40"/>
      <c r="F104" s="40"/>
      <c r="G104" s="40"/>
      <c r="H104" s="40"/>
      <c r="I104" s="40"/>
      <c r="J104" s="40"/>
      <c r="K104" s="40"/>
      <c r="L104" s="40"/>
    </row>
    <row r="105" spans="1:18" s="38" customFormat="1" ht="24.75" customHeight="1">
      <c r="A105" s="39" t="str">
        <f>D$100</f>
        <v>[C]</v>
      </c>
      <c r="B105" s="40" t="s">
        <v>445</v>
      </c>
      <c r="C105" s="40"/>
      <c r="D105" s="40"/>
      <c r="E105" s="40"/>
      <c r="F105" s="40"/>
      <c r="G105" s="40"/>
      <c r="H105" s="40"/>
      <c r="I105" s="40"/>
      <c r="J105" s="40"/>
      <c r="K105" s="40"/>
      <c r="L105" s="40"/>
    </row>
    <row r="106" spans="1:18" s="41" customFormat="1" ht="18" customHeight="1">
      <c r="A106" s="39" t="str">
        <f>E$100</f>
        <v>[D]</v>
      </c>
      <c r="B106" s="40" t="s">
        <v>446</v>
      </c>
      <c r="C106" s="40"/>
      <c r="D106" s="40"/>
      <c r="E106" s="40"/>
      <c r="F106" s="40"/>
      <c r="G106" s="40"/>
      <c r="H106" s="40"/>
      <c r="I106" s="40"/>
      <c r="J106" s="40"/>
      <c r="K106" s="40"/>
      <c r="L106" s="40"/>
    </row>
    <row r="107" spans="1:18" s="41" customFormat="1" ht="18" customHeight="1">
      <c r="A107" s="39" t="str">
        <f>K$100</f>
        <v>[E]</v>
      </c>
      <c r="B107" s="40" t="s">
        <v>447</v>
      </c>
      <c r="C107" s="40"/>
      <c r="D107" s="40"/>
      <c r="E107" s="40"/>
      <c r="F107" s="40"/>
      <c r="G107" s="40"/>
      <c r="H107" s="40"/>
      <c r="I107" s="40"/>
      <c r="J107" s="40"/>
      <c r="K107" s="40"/>
      <c r="L107" s="40"/>
    </row>
    <row r="108" spans="1:18" s="38" customFormat="1" ht="19.5" customHeight="1">
      <c r="A108" s="43" t="s">
        <v>110</v>
      </c>
      <c r="B108" s="43"/>
      <c r="C108" s="43"/>
      <c r="D108" s="43"/>
      <c r="E108" s="43"/>
      <c r="F108" s="43"/>
      <c r="G108" s="43"/>
      <c r="H108" s="43"/>
      <c r="I108" s="148"/>
      <c r="J108" s="148"/>
      <c r="K108" s="148"/>
      <c r="L108" s="148"/>
    </row>
    <row r="109" spans="1:18" s="89" customFormat="1" ht="24.75" customHeight="1">
      <c r="A109" s="39" t="s">
        <v>111</v>
      </c>
      <c r="B109" s="88" t="s">
        <v>421</v>
      </c>
      <c r="C109" s="88"/>
      <c r="D109" s="88"/>
      <c r="E109" s="88"/>
      <c r="F109" s="88"/>
      <c r="G109" s="88"/>
      <c r="H109" s="88"/>
      <c r="I109" s="88"/>
      <c r="J109" s="88"/>
      <c r="K109" s="88"/>
      <c r="L109" s="88"/>
    </row>
    <row r="110" spans="1:18" s="89" customFormat="1" ht="36" customHeight="1">
      <c r="A110" s="39" t="s">
        <v>113</v>
      </c>
      <c r="B110" s="88" t="s">
        <v>448</v>
      </c>
      <c r="C110" s="88"/>
      <c r="D110" s="88"/>
      <c r="E110" s="88"/>
      <c r="F110" s="88"/>
      <c r="G110" s="88"/>
      <c r="H110" s="88"/>
      <c r="I110" s="88"/>
      <c r="J110" s="88"/>
      <c r="K110" s="88"/>
      <c r="L110" s="88"/>
    </row>
    <row r="111" spans="1:18" s="89" customFormat="1" ht="36.75" customHeight="1">
      <c r="A111" s="39" t="s">
        <v>115</v>
      </c>
      <c r="B111" s="88" t="s">
        <v>449</v>
      </c>
      <c r="C111" s="88"/>
      <c r="D111" s="88"/>
      <c r="E111" s="88"/>
      <c r="F111" s="88"/>
      <c r="G111" s="88"/>
      <c r="H111" s="88"/>
      <c r="I111" s="88"/>
      <c r="J111" s="88"/>
      <c r="K111" s="88"/>
      <c r="L111" s="88"/>
    </row>
    <row r="112" spans="1:18" s="89" customFormat="1" ht="18" customHeight="1">
      <c r="A112" s="91" t="s">
        <v>450</v>
      </c>
      <c r="B112" s="91"/>
      <c r="C112" s="91"/>
      <c r="D112" s="91"/>
      <c r="E112" s="91"/>
      <c r="F112" s="91"/>
      <c r="G112" s="91"/>
      <c r="H112" s="91"/>
      <c r="I112" s="91"/>
      <c r="J112" s="91"/>
      <c r="K112" s="91"/>
      <c r="L112" s="91"/>
      <c r="M112" s="91"/>
      <c r="N112" s="91"/>
      <c r="O112" s="91"/>
      <c r="P112" s="91"/>
      <c r="Q112" s="91"/>
      <c r="R112" s="91"/>
    </row>
    <row r="113" spans="1:1" s="89" customFormat="1" ht="36.75" customHeight="1">
      <c r="A113" s="39"/>
    </row>
    <row r="114" spans="1:1" s="167" customFormat="1" ht="36" customHeight="1"/>
    <row r="115" spans="1:1" s="167" customFormat="1" ht="36" customHeight="1"/>
    <row r="116" spans="1:1" s="167" customFormat="1"/>
    <row r="117" spans="1:1" s="167" customFormat="1"/>
  </sheetData>
  <mergeCells count="28">
    <mergeCell ref="B107:L107"/>
    <mergeCell ref="A108:H108"/>
    <mergeCell ref="B109:L109"/>
    <mergeCell ref="B110:L110"/>
    <mergeCell ref="B111:L111"/>
    <mergeCell ref="A112:R112"/>
    <mergeCell ref="K100:L100"/>
    <mergeCell ref="B101:F101"/>
    <mergeCell ref="B103:L103"/>
    <mergeCell ref="B104:L104"/>
    <mergeCell ref="B105:L105"/>
    <mergeCell ref="B106:L106"/>
    <mergeCell ref="D5:D6"/>
    <mergeCell ref="E5:E6"/>
    <mergeCell ref="F5:F6"/>
    <mergeCell ref="G5:H5"/>
    <mergeCell ref="I5:J5"/>
    <mergeCell ref="E100:J100"/>
    <mergeCell ref="A1:L1"/>
    <mergeCell ref="A2:L2"/>
    <mergeCell ref="A3:A6"/>
    <mergeCell ref="B3:B6"/>
    <mergeCell ref="C3:J3"/>
    <mergeCell ref="K3:L5"/>
    <mergeCell ref="C4:D4"/>
    <mergeCell ref="E4:F4"/>
    <mergeCell ref="G4:J4"/>
    <mergeCell ref="C5:C6"/>
  </mergeCells>
  <pageMargins left="0.7" right="0.7" top="0.75" bottom="0.75" header="0.3" footer="0.3"/>
  <pageSetup scale="97" orientation="portrait" r:id="rId1"/>
  <rowBreaks count="2" manualBreakCount="2">
    <brk id="47" max="11" man="1"/>
    <brk id="101"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21</vt:i4>
      </vt:variant>
    </vt:vector>
  </HeadingPairs>
  <TitlesOfParts>
    <vt:vector size="35" baseType="lpstr">
      <vt:lpstr>Table 1.1</vt:lpstr>
      <vt:lpstr>Table 1.1.1</vt:lpstr>
      <vt:lpstr>Table 1.1.3</vt:lpstr>
      <vt:lpstr>Table 1.1.4</vt:lpstr>
      <vt:lpstr>Table 1.1.5</vt:lpstr>
      <vt:lpstr>Table 1.1.6</vt:lpstr>
      <vt:lpstr>Table 1.1.7</vt:lpstr>
      <vt:lpstr>Table 1.1.8</vt:lpstr>
      <vt:lpstr>Table 1.3</vt:lpstr>
      <vt:lpstr>Table 1.3.1</vt:lpstr>
      <vt:lpstr>Table 1.3.1.1</vt:lpstr>
      <vt:lpstr>Table 1.3.3</vt:lpstr>
      <vt:lpstr>Table 1.5</vt:lpstr>
      <vt:lpstr>Table 1.5.1</vt:lpstr>
      <vt:lpstr>'Table 1.1'!Print_Area</vt:lpstr>
      <vt:lpstr>'Table 1.1.1'!Print_Area</vt:lpstr>
      <vt:lpstr>'Table 1.1.3'!Print_Area</vt:lpstr>
      <vt:lpstr>'Table 1.1.4'!Print_Area</vt:lpstr>
      <vt:lpstr>'Table 1.1.5'!Print_Area</vt:lpstr>
      <vt:lpstr>'Table 1.1.6'!Print_Area</vt:lpstr>
      <vt:lpstr>'Table 1.1.7'!Print_Area</vt:lpstr>
      <vt:lpstr>'Table 1.1.8'!Print_Area</vt:lpstr>
      <vt:lpstr>'Table 1.3'!Print_Area</vt:lpstr>
      <vt:lpstr>'Table 1.3.1'!Print_Area</vt:lpstr>
      <vt:lpstr>'Table 1.3.1.1'!Print_Area</vt:lpstr>
      <vt:lpstr>'Table 1.3.3'!Print_Area</vt:lpstr>
      <vt:lpstr>'Table 1.5'!Print_Area</vt:lpstr>
      <vt:lpstr>'Table 1.5.1'!Print_Area</vt:lpstr>
      <vt:lpstr>'Table 1.1.1'!Print_Titles</vt:lpstr>
      <vt:lpstr>'Table 1.1.3'!Print_Titles</vt:lpstr>
      <vt:lpstr>'Table 1.1.4'!Print_Titles</vt:lpstr>
      <vt:lpstr>'Table 1.1.5'!Print_Titles</vt:lpstr>
      <vt:lpstr>'Table 1.1.6'!Print_Titles</vt:lpstr>
      <vt:lpstr>'Table 1.1.7'!Print_Titles</vt:lpstr>
      <vt:lpstr>'Table 1.1.8'!Print_Titles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7Copy</dc:creator>
  <cp:lastModifiedBy>7Copy</cp:lastModifiedBy>
  <dcterms:created xsi:type="dcterms:W3CDTF">2013-09-03T12:02:40Z</dcterms:created>
  <dcterms:modified xsi:type="dcterms:W3CDTF">2013-09-03T12:03:29Z</dcterms:modified>
</cp:coreProperties>
</file>